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\AppData\Local\Microsoft\Windows\INetCache\Content.Outlook\WK3NR0PR\"/>
    </mc:Choice>
  </mc:AlternateContent>
  <xr:revisionPtr revIDLastSave="0" documentId="13_ncr:1_{EC9CD93E-836A-455F-ACC6-0312B1318BCD}" xr6:coauthVersionLast="47" xr6:coauthVersionMax="47" xr10:uidLastSave="{00000000-0000-0000-0000-000000000000}"/>
  <bookViews>
    <workbookView xWindow="-120" yWindow="-120" windowWidth="24240" windowHeight="13020" tabRatio="611" xr2:uid="{00000000-000D-0000-FFFF-FFFF00000000}"/>
  </bookViews>
  <sheets>
    <sheet name="FY24" sheetId="1" r:id="rId1"/>
    <sheet name="APPROVED initial budget FY24" sheetId="4" r:id="rId2"/>
    <sheet name="Sheet2" sheetId="9" r:id="rId3"/>
  </sheets>
  <definedNames>
    <definedName name="_xlnm._FilterDatabase" localSheetId="0" hidden="1">'FY24'!$AL$200:$AR$202</definedName>
    <definedName name="_xlnm.Print_Area" localSheetId="1">'APPROVED initial budget FY24'!$A$1:$C$85</definedName>
    <definedName name="_xlnm.Print_Area" localSheetId="0">'FY24'!$A$76:$F$143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0" i="1" l="1"/>
  <c r="AD60" i="1"/>
  <c r="AS46" i="1"/>
  <c r="AC60" i="1"/>
  <c r="AB60" i="1"/>
  <c r="AS44" i="1"/>
  <c r="AS41" i="1" l="1"/>
  <c r="D110" i="1"/>
  <c r="AD54" i="1"/>
  <c r="Y54" i="1"/>
  <c r="O54" i="1"/>
  <c r="AS34" i="1"/>
  <c r="Y51" i="1"/>
  <c r="T51" i="1"/>
  <c r="R51" i="1"/>
  <c r="D106" i="1"/>
  <c r="Y46" i="1" l="1"/>
  <c r="AS30" i="1" l="1"/>
  <c r="AS28" i="1"/>
  <c r="D109" i="1"/>
  <c r="V123" i="1"/>
  <c r="E102" i="1" s="1"/>
  <c r="F102" i="1" s="1"/>
  <c r="V124" i="1"/>
  <c r="V7" i="1"/>
  <c r="V6" i="1"/>
  <c r="R43" i="1" l="1"/>
  <c r="O43" i="1"/>
  <c r="N43" i="1"/>
  <c r="AS25" i="1"/>
  <c r="D99" i="1"/>
  <c r="D96" i="1"/>
  <c r="Y37" i="1"/>
  <c r="AS22" i="1"/>
  <c r="D101" i="1"/>
  <c r="D98" i="1"/>
  <c r="D112" i="1" l="1"/>
  <c r="AS12" i="1"/>
  <c r="AS8" i="1"/>
  <c r="AS18" i="1"/>
  <c r="Y32" i="1"/>
  <c r="R32" i="1"/>
  <c r="O32" i="1"/>
  <c r="AS15" i="1"/>
  <c r="AB28" i="1"/>
  <c r="AA28" i="1"/>
  <c r="Y28" i="1"/>
  <c r="P23" i="1"/>
  <c r="AB23" i="1" l="1"/>
  <c r="Y23" i="1"/>
  <c r="W6" i="1"/>
  <c r="T23" i="1"/>
  <c r="R23" i="1"/>
  <c r="O23" i="1"/>
  <c r="T14" i="1" l="1"/>
  <c r="R14" i="1"/>
  <c r="Y14" i="1"/>
  <c r="Y8" i="1"/>
  <c r="AF8" i="1" s="1"/>
  <c r="AU8" i="1" s="1"/>
  <c r="AW8" i="1" s="1"/>
  <c r="AF14" i="1" l="1"/>
  <c r="Z123" i="1"/>
  <c r="E107" i="1" s="1"/>
  <c r="F107" i="1" s="1"/>
  <c r="Z7" i="1" l="1"/>
  <c r="Z6" i="1"/>
  <c r="Z124" i="1" s="1"/>
  <c r="D61" i="4" l="1"/>
  <c r="D63" i="4" s="1"/>
  <c r="D51" i="4"/>
  <c r="D41" i="4"/>
  <c r="D18" i="4"/>
  <c r="AR204" i="1"/>
  <c r="AO204" i="1"/>
  <c r="AP204" i="1"/>
  <c r="AQ204" i="1"/>
  <c r="AL204" i="1"/>
  <c r="AF60" i="1"/>
  <c r="AF54" i="1"/>
  <c r="AF51" i="1"/>
  <c r="AF46" i="1"/>
  <c r="AF43" i="1"/>
  <c r="AF40" i="1"/>
  <c r="AF37" i="1"/>
  <c r="AF32" i="1"/>
  <c r="AF28" i="1"/>
  <c r="AF23" i="1"/>
  <c r="AU15" i="1" s="1"/>
  <c r="AW15" i="1" s="1"/>
  <c r="AU12" i="1"/>
  <c r="M123" i="1"/>
  <c r="E87" i="1" s="1"/>
  <c r="F87" i="1" s="1"/>
  <c r="AB7" i="1"/>
  <c r="AA7" i="1"/>
  <c r="AB6" i="1"/>
  <c r="AA6" i="1"/>
  <c r="X7" i="1"/>
  <c r="Y6" i="1"/>
  <c r="X6" i="1"/>
  <c r="X124" i="1" s="1"/>
  <c r="W7" i="1"/>
  <c r="U7" i="1"/>
  <c r="U6" i="1"/>
  <c r="T7" i="1"/>
  <c r="T6" i="1"/>
  <c r="S6" i="1"/>
  <c r="R7" i="1"/>
  <c r="Q7" i="1"/>
  <c r="R6" i="1"/>
  <c r="Q6" i="1"/>
  <c r="M7" i="1"/>
  <c r="M6" i="1"/>
  <c r="M124" i="1" s="1"/>
  <c r="P7" i="1"/>
  <c r="P6" i="1"/>
  <c r="D43" i="4" l="1"/>
  <c r="D64" i="4" s="1"/>
  <c r="D66" i="4" s="1"/>
  <c r="AT61" i="1"/>
  <c r="AS198" i="1"/>
  <c r="AW12" i="1"/>
  <c r="U123" i="1"/>
  <c r="E101" i="1" s="1"/>
  <c r="F101" i="1" s="1"/>
  <c r="O123" i="1" l="1"/>
  <c r="E88" i="1" s="1"/>
  <c r="F88" i="1" s="1"/>
  <c r="P123" i="1"/>
  <c r="E90" i="1" s="1"/>
  <c r="F90" i="1" s="1"/>
  <c r="O7" i="1"/>
  <c r="P124" i="1"/>
  <c r="O6" i="1"/>
  <c r="O124" i="1" s="1"/>
  <c r="AQ200" i="1" l="1"/>
  <c r="E135" i="1" s="1"/>
  <c r="F135" i="1" s="1"/>
  <c r="AQ7" i="1"/>
  <c r="AQ6" i="1"/>
  <c r="AQ202" i="1" s="1"/>
  <c r="N123" i="1" l="1"/>
  <c r="E89" i="1" s="1"/>
  <c r="N7" i="1"/>
  <c r="N6" i="1"/>
  <c r="N124" i="1" s="1"/>
  <c r="B64" i="1" l="1"/>
  <c r="F89" i="1"/>
  <c r="L6" i="1" l="1"/>
  <c r="AL200" i="1" l="1"/>
  <c r="L7" i="1"/>
  <c r="D93" i="1"/>
  <c r="T123" i="1"/>
  <c r="E99" i="1" s="1"/>
  <c r="W123" i="1"/>
  <c r="J7" i="1"/>
  <c r="K7" i="1"/>
  <c r="D128" i="1"/>
  <c r="AU44" i="1"/>
  <c r="AW44" i="1" s="1"/>
  <c r="AU41" i="1"/>
  <c r="AW41" i="1" s="1"/>
  <c r="AP200" i="1"/>
  <c r="E134" i="1" s="1"/>
  <c r="F134" i="1" s="1"/>
  <c r="AN200" i="1"/>
  <c r="E131" i="1" s="1"/>
  <c r="AU34" i="1"/>
  <c r="AW34" i="1" s="1"/>
  <c r="AA123" i="1"/>
  <c r="E109" i="1" s="1"/>
  <c r="D138" i="1"/>
  <c r="AC123" i="1"/>
  <c r="E112" i="1" s="1"/>
  <c r="AN204" i="1"/>
  <c r="AM204" i="1"/>
  <c r="AM200" i="1"/>
  <c r="E130" i="1" s="1"/>
  <c r="AD7" i="1"/>
  <c r="AU18" i="1"/>
  <c r="AR200" i="1"/>
  <c r="E132" i="1" s="1"/>
  <c r="F132" i="1" s="1"/>
  <c r="L124" i="1"/>
  <c r="AE123" i="1"/>
  <c r="AO200" i="1"/>
  <c r="E133" i="1" s="1"/>
  <c r="F133" i="1" s="1"/>
  <c r="Q124" i="1"/>
  <c r="R123" i="1"/>
  <c r="E96" i="1" s="1"/>
  <c r="F96" i="1" s="1"/>
  <c r="AD123" i="1"/>
  <c r="Y123" i="1"/>
  <c r="AB123" i="1"/>
  <c r="E110" i="1" s="1"/>
  <c r="AB124" i="1"/>
  <c r="AA124" i="1"/>
  <c r="U124" i="1"/>
  <c r="L123" i="1"/>
  <c r="E86" i="1" s="1"/>
  <c r="F86" i="1" s="1"/>
  <c r="K123" i="1"/>
  <c r="E85" i="1" s="1"/>
  <c r="J123" i="1"/>
  <c r="E84" i="1" s="1"/>
  <c r="X123" i="1"/>
  <c r="E105" i="1" s="1"/>
  <c r="K6" i="1"/>
  <c r="K124" i="1" s="1"/>
  <c r="AR7" i="1"/>
  <c r="AR6" i="1"/>
  <c r="AR202" i="1" s="1"/>
  <c r="AU46" i="1"/>
  <c r="AW46" i="1" s="1"/>
  <c r="S124" i="1"/>
  <c r="Y7" i="1"/>
  <c r="AC7" i="1"/>
  <c r="AL6" i="1"/>
  <c r="AL202" i="1" s="1"/>
  <c r="AP7" i="1"/>
  <c r="AP6" i="1"/>
  <c r="AP202" i="1" s="1"/>
  <c r="AO7" i="1"/>
  <c r="AO6" i="1"/>
  <c r="AO202" i="1" s="1"/>
  <c r="AN7" i="1"/>
  <c r="AN6" i="1"/>
  <c r="AN202" i="1" s="1"/>
  <c r="AM7" i="1"/>
  <c r="AM6" i="1"/>
  <c r="AM202" i="1" s="1"/>
  <c r="AF124" i="1"/>
  <c r="AD6" i="1"/>
  <c r="AD124" i="1" s="1"/>
  <c r="AC6" i="1"/>
  <c r="AC124" i="1" s="1"/>
  <c r="Y124" i="1"/>
  <c r="W124" i="1"/>
  <c r="T124" i="1"/>
  <c r="R124" i="1"/>
  <c r="J6" i="1"/>
  <c r="J124" i="1" s="1"/>
  <c r="B18" i="1"/>
  <c r="BA123" i="1"/>
  <c r="Q123" i="1"/>
  <c r="E95" i="1" s="1"/>
  <c r="AU22" i="1"/>
  <c r="AU30" i="1"/>
  <c r="AW30" i="1" s="1"/>
  <c r="F95" i="1" l="1"/>
  <c r="I96" i="1"/>
  <c r="AW22" i="1"/>
  <c r="E126" i="1"/>
  <c r="E128" i="1" s="1"/>
  <c r="AS200" i="1"/>
  <c r="AW18" i="1"/>
  <c r="E106" i="1"/>
  <c r="F106" i="1" s="1"/>
  <c r="F112" i="1"/>
  <c r="E114" i="1"/>
  <c r="F114" i="1" s="1"/>
  <c r="F99" i="1"/>
  <c r="E103" i="1"/>
  <c r="F103" i="1" s="1"/>
  <c r="S7" i="1"/>
  <c r="AF7" i="1" s="1"/>
  <c r="D118" i="1"/>
  <c r="D120" i="1" s="1"/>
  <c r="F130" i="1"/>
  <c r="E138" i="1"/>
  <c r="AU25" i="1"/>
  <c r="AW25" i="1" s="1"/>
  <c r="F85" i="1"/>
  <c r="E93" i="1"/>
  <c r="AL7" i="1"/>
  <c r="AS7" i="1" s="1"/>
  <c r="S123" i="1"/>
  <c r="F110" i="1"/>
  <c r="D140" i="1"/>
  <c r="F131" i="1"/>
  <c r="F109" i="1"/>
  <c r="AU28" i="1"/>
  <c r="AW28" i="1" s="1"/>
  <c r="F84" i="1"/>
  <c r="F105" i="1"/>
  <c r="E140" i="1" l="1"/>
  <c r="AU200" i="1"/>
  <c r="AW200" i="1"/>
  <c r="E98" i="1"/>
  <c r="F138" i="1"/>
  <c r="D141" i="1"/>
  <c r="D143" i="1" s="1"/>
  <c r="F93" i="1"/>
  <c r="AF123" i="1"/>
  <c r="AH123" i="1"/>
  <c r="B67" i="1" s="1"/>
  <c r="B70" i="1" s="1"/>
  <c r="F126" i="1"/>
  <c r="F128" i="1" s="1"/>
  <c r="E118" i="1" l="1"/>
  <c r="E120" i="1" s="1"/>
  <c r="E141" i="1" s="1"/>
  <c r="I99" i="1"/>
  <c r="F98" i="1"/>
  <c r="F118" i="1" s="1"/>
  <c r="F120" i="1" s="1"/>
  <c r="F140" i="1"/>
  <c r="F141" i="1" l="1"/>
  <c r="Y42" i="4"/>
</calcChain>
</file>

<file path=xl/sharedStrings.xml><?xml version="1.0" encoding="utf-8"?>
<sst xmlns="http://schemas.openxmlformats.org/spreadsheetml/2006/main" count="209" uniqueCount="156">
  <si>
    <t>Amount</t>
  </si>
  <si>
    <t>Period</t>
  </si>
  <si>
    <t>Office Expenses</t>
  </si>
  <si>
    <t>Service/Promotional Expenses</t>
  </si>
  <si>
    <t>Legal fees</t>
  </si>
  <si>
    <t>Accounting fees</t>
  </si>
  <si>
    <t>Transfers of money to AWAKEN-Afghanistan</t>
  </si>
  <si>
    <t>Opening Balance</t>
  </si>
  <si>
    <t>Less expenditures</t>
  </si>
  <si>
    <t>Amount in Afghan-</t>
  </si>
  <si>
    <t>istan</t>
  </si>
  <si>
    <t>subtotal</t>
  </si>
  <si>
    <t xml:space="preserve">   Recurring Expenses</t>
  </si>
  <si>
    <t>Salary of Director</t>
  </si>
  <si>
    <t>Project Expenses</t>
  </si>
  <si>
    <t>Total Project Expenses</t>
  </si>
  <si>
    <t>Total Awaken budgeted expenses for   tax year</t>
  </si>
  <si>
    <t>AFGHAN OFFICE EXPENSES</t>
  </si>
  <si>
    <t xml:space="preserve">INDIANA- INITIAL BUDGET EXPENSES </t>
  </si>
  <si>
    <t>Afghan Program Grant</t>
  </si>
  <si>
    <t>Overall total for Afghanistan program</t>
  </si>
  <si>
    <t>Afghan Program - expenditures</t>
  </si>
  <si>
    <t>remaining</t>
  </si>
  <si>
    <t>spent thru</t>
  </si>
  <si>
    <t>All Salaries:</t>
  </si>
  <si>
    <t xml:space="preserve">Overall total for AWAKEN-US program </t>
  </si>
  <si>
    <t>Total balance of $ sent to Afghanistan</t>
  </si>
  <si>
    <t>Educ Asst to</t>
  </si>
  <si>
    <t>Budgeted</t>
  </si>
  <si>
    <t>x</t>
  </si>
  <si>
    <t>Business liability insurance</t>
  </si>
  <si>
    <t>Bank &amp; Wire fees, post office box rental</t>
  </si>
  <si>
    <t>Chamber of Commerce membershjip</t>
  </si>
  <si>
    <t xml:space="preserve">Overall total for Afghanistan program </t>
  </si>
  <si>
    <t>Budget assumption for this proposal:</t>
  </si>
  <si>
    <t>***</t>
  </si>
  <si>
    <t>total U.S. budget</t>
  </si>
  <si>
    <t>December</t>
  </si>
  <si>
    <t xml:space="preserve">  </t>
  </si>
  <si>
    <t xml:space="preserve">  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</si>
  <si>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</si>
  <si>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</si>
  <si>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</si>
  <si>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</si>
  <si>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</si>
  <si>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</si>
  <si>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</si>
  <si>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</si>
  <si>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*NOTE:  Revenues needed for FY23 will equal expenses budgeted, minus total assets at the end of</t>
  </si>
  <si>
    <t>to be raised in 2023</t>
  </si>
  <si>
    <t>May, 2023</t>
  </si>
  <si>
    <t>June, 2023</t>
  </si>
  <si>
    <t>Holiday gifts for Employees ($25 for each of two holidays)</t>
  </si>
  <si>
    <t>Fundraising expenses(includes website)</t>
  </si>
  <si>
    <t>Main office expenses</t>
  </si>
  <si>
    <t>October</t>
  </si>
  <si>
    <t>Afghan program</t>
  </si>
  <si>
    <t>US &amp; Afghan total</t>
  </si>
  <si>
    <t>AWAKEN EXPENSES - FY 2024</t>
  </si>
  <si>
    <t xml:space="preserve">AWAKEN BUDGET FOR FY2024-approved </t>
  </si>
  <si>
    <t>11/1/23 - 10/31/24</t>
  </si>
  <si>
    <t>Monies in Afghanistan carried over from FY23</t>
  </si>
  <si>
    <t>Deputy Director (Program)</t>
  </si>
  <si>
    <t>Administrative Finance Officer</t>
  </si>
  <si>
    <t>Security Guard</t>
  </si>
  <si>
    <t>Expenses for wires (amount sent less amount received)</t>
  </si>
  <si>
    <t>Qala-e-Malakh BHC- salaries</t>
  </si>
  <si>
    <t>Qala-e-Malakh BHC General Operational Costs</t>
  </si>
  <si>
    <r>
      <t xml:space="preserve">Tangi Tokhchi BHC- </t>
    </r>
    <r>
      <rPr>
        <sz val="10"/>
        <rFont val="Arial"/>
        <family val="2"/>
      </rPr>
      <t xml:space="preserve"> Salaries</t>
    </r>
  </si>
  <si>
    <r>
      <rPr>
        <b/>
        <sz val="10"/>
        <rFont val="Arial"/>
        <family val="2"/>
      </rPr>
      <t xml:space="preserve">Tangi Tokhchi BHC- </t>
    </r>
    <r>
      <rPr>
        <sz val="10"/>
        <rFont val="Arial"/>
        <family val="2"/>
      </rPr>
      <t>General Operation Cost</t>
    </r>
  </si>
  <si>
    <t>Mobile Health Team -Pakistni Returnees - Salaries</t>
  </si>
  <si>
    <t>Mobile Health Team -Pakistni Returnees - Other general op cost</t>
  </si>
  <si>
    <r>
      <t xml:space="preserve">Emergency Assistance- </t>
    </r>
    <r>
      <rPr>
        <sz val="10"/>
        <rFont val="Arial"/>
        <family val="2"/>
      </rPr>
      <t xml:space="preserve"> Salaries</t>
    </r>
  </si>
  <si>
    <r>
      <rPr>
        <b/>
        <sz val="10"/>
        <rFont val="Arial"/>
        <family val="2"/>
      </rPr>
      <t xml:space="preserve">Emergency Assistance- </t>
    </r>
    <r>
      <rPr>
        <sz val="10"/>
        <rFont val="Arial"/>
        <family val="2"/>
      </rPr>
      <t>General Operation Cost</t>
    </r>
  </si>
  <si>
    <r>
      <rPr>
        <b/>
        <sz val="10"/>
        <rFont val="Arial"/>
        <family val="2"/>
      </rPr>
      <t>Educational Assistance</t>
    </r>
    <r>
      <rPr>
        <sz val="10"/>
        <rFont val="Arial"/>
        <family val="2"/>
      </rPr>
      <t xml:space="preserve"> - Student Sponsorship</t>
    </r>
  </si>
  <si>
    <r>
      <rPr>
        <b/>
        <sz val="10"/>
        <rFont val="Arial"/>
        <family val="2"/>
      </rPr>
      <t>Educational assistance -</t>
    </r>
    <r>
      <rPr>
        <sz val="10"/>
        <rFont val="Arial"/>
        <family val="2"/>
      </rPr>
      <t xml:space="preserve"> Ongoing and New Home School</t>
    </r>
  </si>
  <si>
    <r>
      <rPr>
        <b/>
        <sz val="11"/>
        <color theme="1"/>
        <rFont val="Calibri"/>
        <family val="2"/>
        <scheme val="minor"/>
      </rPr>
      <t xml:space="preserve">Special Project </t>
    </r>
    <r>
      <rPr>
        <sz val="10"/>
        <rFont val="Arial"/>
        <family val="2"/>
      </rPr>
      <t>-  Safe drinking water borewell &amp; Ricksha program</t>
    </r>
  </si>
  <si>
    <t>Medical Assistance to the needy for Advance treatment</t>
  </si>
  <si>
    <t>c</t>
  </si>
  <si>
    <t>Student intern honoraria</t>
  </si>
  <si>
    <t>November, 2023</t>
  </si>
  <si>
    <t>December, 2023</t>
  </si>
  <si>
    <t>January, 2024</t>
  </si>
  <si>
    <t>February, 2024</t>
  </si>
  <si>
    <t>March, 2024</t>
  </si>
  <si>
    <t>April, 2024</t>
  </si>
  <si>
    <t>May, 2024</t>
  </si>
  <si>
    <t>June, 2024</t>
  </si>
  <si>
    <t>July, 2024</t>
  </si>
  <si>
    <t>August, 2024</t>
  </si>
  <si>
    <t>September, 2024</t>
  </si>
  <si>
    <t>October, 2024</t>
  </si>
  <si>
    <t xml:space="preserve">FY23 which are </t>
  </si>
  <si>
    <t>2024budget</t>
  </si>
  <si>
    <t>11/1-ck #612 - Greater Muncie Chamber of Commerce</t>
  </si>
  <si>
    <t>11/1-11/30 - PayPal fees</t>
  </si>
  <si>
    <t>to be raised in 2024</t>
  </si>
  <si>
    <t>all cash</t>
  </si>
  <si>
    <t>1150 is food</t>
  </si>
  <si>
    <t>November</t>
  </si>
  <si>
    <t>$4565 is food</t>
  </si>
  <si>
    <t>12/1-12/31 -PayPal fees</t>
  </si>
  <si>
    <t>12/18 - debit card WIX expense</t>
  </si>
  <si>
    <t>1/2/24 - Bank fee</t>
  </si>
  <si>
    <t>Helping Returnees from Pakistan -Emergemcy Assistance</t>
  </si>
  <si>
    <t>3450 is food</t>
  </si>
  <si>
    <t>12/4 -Sent to Dr. Ahmadreza Bayati  ($39,150 received)</t>
  </si>
  <si>
    <t>1/16/24 -Sent to Dr. Mahmoud Ketabi ($39,150 received)</t>
  </si>
  <si>
    <t>January</t>
  </si>
  <si>
    <t>1/1-1/31 -PayPal fees</t>
  </si>
  <si>
    <t>$3250 is food</t>
  </si>
  <si>
    <t>2/1-Bank fee</t>
  </si>
  <si>
    <t>Food for Ramadan</t>
  </si>
  <si>
    <t>3/22 - Whitinger tax returns</t>
  </si>
  <si>
    <t>3/28 - Selective Insurance</t>
  </si>
  <si>
    <t>2/1-2/29 PayPal fees</t>
  </si>
  <si>
    <t>3/1-3/31 -PayPal fees</t>
  </si>
  <si>
    <t>4/1 - Bank fee</t>
  </si>
  <si>
    <t>4/18 - Post office box annual fee</t>
  </si>
  <si>
    <t>April, 2024 - Mobile clinic van sold for $6,900</t>
  </si>
  <si>
    <t>4/1-4/30- PayPal fees</t>
  </si>
  <si>
    <t>4/30 -Givebuter fees</t>
  </si>
  <si>
    <t>AWAKEN BUDGET FOR FY2024 (Revised budget approved 4/23/24 )</t>
  </si>
  <si>
    <t>3/20/24 - sent to Dr. IAA Buyer ($39,150 received)</t>
  </si>
  <si>
    <t>5/31 - Givebutter fees</t>
  </si>
  <si>
    <t>5/1-5/31 - PayPal fees</t>
  </si>
  <si>
    <r>
      <rPr>
        <strike/>
        <sz val="10"/>
        <rFont val="Arial"/>
        <family val="2"/>
      </rPr>
      <t xml:space="preserve">Earthquake (Herat area) Relief  </t>
    </r>
    <r>
      <rPr>
        <sz val="10"/>
        <rFont val="Arial"/>
        <family val="2"/>
      </rPr>
      <t>Flood Assistance</t>
    </r>
  </si>
  <si>
    <t>5/3/24 -Sent to Dr. Shaheiar Dadkhah &amp; Mo Dadkhjah($39,150 received)</t>
  </si>
  <si>
    <t>added new stdt</t>
  </si>
  <si>
    <t>Food for Qurbani</t>
  </si>
  <si>
    <t>Tangi Tokhchi BHC-  Salaries</t>
  </si>
  <si>
    <t>Tangi Tokhchi BHC- General Operation Cost</t>
  </si>
  <si>
    <t>Emergency Assistance-  Salaries</t>
  </si>
  <si>
    <t>Emergency Assistance- General Operation Cost</t>
  </si>
  <si>
    <t>Educational Assistance - Student Sponsorship</t>
  </si>
  <si>
    <r>
      <rPr>
        <sz val="11"/>
        <color theme="1"/>
        <rFont val="Calibri"/>
        <family val="2"/>
        <scheme val="minor"/>
      </rPr>
      <t xml:space="preserve">Special Project </t>
    </r>
    <r>
      <rPr>
        <sz val="10"/>
        <rFont val="Arial"/>
        <family val="2"/>
      </rPr>
      <t>-  Safe drinking water borewell &amp; Ricksha program</t>
    </r>
  </si>
  <si>
    <t>6/3- Bank fee</t>
  </si>
  <si>
    <t>6/1-6/30 - PayPal fees</t>
  </si>
  <si>
    <t>6/1 -payment to Ric Dwenger for AV at dinner</t>
  </si>
  <si>
    <t>7/1-7/31 - PayPal fees</t>
  </si>
  <si>
    <t>7/2/24-wire to Dr the Heshmat-Akram LT</t>
  </si>
  <si>
    <t>8/1- Bank fee</t>
  </si>
  <si>
    <t>8/1-8/31 - PayPal fees</t>
  </si>
  <si>
    <t>8/28/24 -wire to Dr. Maryam Sadat (not received until Sept)</t>
  </si>
  <si>
    <t>9/3 - Bank fee</t>
  </si>
  <si>
    <t>9/14 - IN Business Entity Report</t>
  </si>
  <si>
    <t>9/3/24 - wire on 8/28 failed-funds returned</t>
  </si>
  <si>
    <t>9/20/24 - WIRE TO Dr. EG Trading llc</t>
  </si>
  <si>
    <t>9/1-9/30 - PayPal fees</t>
  </si>
  <si>
    <t>9/2 - Givebutter fee</t>
  </si>
  <si>
    <t>Educational assistance - Ongoing and New Home School, 2 reg. school teachers</t>
  </si>
  <si>
    <t>through 10/31/24</t>
  </si>
  <si>
    <t>10/1- Bank fee</t>
  </si>
  <si>
    <t>10/31 - Chamber of Commerce dues</t>
  </si>
  <si>
    <t>10/1 -10/31 - PayPal fees</t>
  </si>
  <si>
    <t>($14,965.67 is for emerg assist expenses never submitted, likely spent in Aug-Dec,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</si>
</sst>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0.00_);\(0.00\)"/>
    <numFmt numFmtId="166" formatCode="m/d/yy;@"/>
    <numFmt numFmtId="167" formatCode="m&quot;/&quot;d&quot;/&quot;yy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z val="10"/>
      <name val="Calibri"/>
      <family val="2"/>
    </font>
    <font>
      <sz val="11"/>
      <name val="Arial"/>
      <family val="2"/>
    </font>
    <font>
      <u/>
      <sz val="11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trike/>
      <sz val="9"/>
      <name val="Arial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4" fillId="3" borderId="0" applyNumberFormat="0" applyBorder="0" applyAlignment="0" applyProtection="0"/>
  </cellStyleXfs>
  <cellXfs count="243">
    <xf numFmtId="0" fontId="0" fillId="0" borderId="0" xfId="0"/>
    <xf numFmtId="0" fontId="4" fillId="0" borderId="0" xfId="0" applyFont="1"/>
    <xf numFmtId="0" fontId="5" fillId="0" borderId="0" xfId="0" applyFont="1"/>
    <xf numFmtId="14" fontId="0" fillId="0" borderId="0" xfId="0" applyNumberFormat="1"/>
    <xf numFmtId="164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8" fillId="0" borderId="0" xfId="0" applyNumberFormat="1" applyFont="1"/>
    <xf numFmtId="0" fontId="11" fillId="0" borderId="0" xfId="0" applyFont="1"/>
    <xf numFmtId="164" fontId="4" fillId="0" borderId="0" xfId="0" applyNumberFormat="1" applyFont="1"/>
    <xf numFmtId="0" fontId="0" fillId="0" borderId="0" xfId="0" applyAlignment="1">
      <alignment horizontal="right"/>
    </xf>
    <xf numFmtId="164" fontId="10" fillId="0" borderId="0" xfId="0" applyNumberFormat="1" applyFont="1"/>
    <xf numFmtId="0" fontId="10" fillId="0" borderId="0" xfId="0" applyFont="1"/>
    <xf numFmtId="164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4" fontId="4" fillId="0" borderId="0" xfId="0" applyNumberFormat="1" applyFont="1"/>
    <xf numFmtId="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3" fillId="0" borderId="0" xfId="0" applyFont="1"/>
    <xf numFmtId="164" fontId="5" fillId="0" borderId="0" xfId="0" applyNumberFormat="1" applyFont="1"/>
    <xf numFmtId="164" fontId="14" fillId="0" borderId="2" xfId="0" applyNumberFormat="1" applyFont="1" applyBorder="1"/>
    <xf numFmtId="0" fontId="0" fillId="0" borderId="0" xfId="0" applyAlignment="1">
      <alignment horizontal="left"/>
    </xf>
    <xf numFmtId="164" fontId="4" fillId="0" borderId="0" xfId="0" applyNumberFormat="1" applyFont="1" applyAlignment="1">
      <alignment horizontal="right"/>
    </xf>
    <xf numFmtId="4" fontId="14" fillId="0" borderId="0" xfId="0" applyNumberFormat="1" applyFont="1"/>
    <xf numFmtId="0" fontId="0" fillId="0" borderId="3" xfId="0" applyBorder="1"/>
    <xf numFmtId="0" fontId="6" fillId="0" borderId="3" xfId="0" applyFont="1" applyBorder="1" applyAlignment="1">
      <alignment horizontal="right"/>
    </xf>
    <xf numFmtId="164" fontId="5" fillId="0" borderId="4" xfId="0" applyNumberFormat="1" applyFont="1" applyBorder="1"/>
    <xf numFmtId="164" fontId="5" fillId="0" borderId="3" xfId="0" applyNumberFormat="1" applyFont="1" applyBorder="1"/>
    <xf numFmtId="0" fontId="4" fillId="0" borderId="5" xfId="0" applyFont="1" applyBorder="1"/>
    <xf numFmtId="0" fontId="5" fillId="0" borderId="6" xfId="0" applyFont="1" applyBorder="1"/>
    <xf numFmtId="0" fontId="0" fillId="0" borderId="6" xfId="0" applyBorder="1"/>
    <xf numFmtId="0" fontId="3" fillId="0" borderId="6" xfId="0" applyFont="1" applyBorder="1"/>
    <xf numFmtId="0" fontId="13" fillId="0" borderId="6" xfId="0" applyFont="1" applyBorder="1"/>
    <xf numFmtId="0" fontId="4" fillId="0" borderId="6" xfId="0" applyFont="1" applyBorder="1"/>
    <xf numFmtId="0" fontId="0" fillId="0" borderId="7" xfId="0" applyBorder="1"/>
    <xf numFmtId="7" fontId="0" fillId="0" borderId="0" xfId="0" applyNumberFormat="1"/>
    <xf numFmtId="7" fontId="4" fillId="0" borderId="0" xfId="0" applyNumberFormat="1" applyFont="1"/>
    <xf numFmtId="7" fontId="4" fillId="0" borderId="6" xfId="0" applyNumberFormat="1" applyFont="1" applyBorder="1"/>
    <xf numFmtId="0" fontId="4" fillId="0" borderId="8" xfId="0" applyFont="1" applyBorder="1" applyAlignment="1">
      <alignment horizontal="center"/>
    </xf>
    <xf numFmtId="7" fontId="4" fillId="0" borderId="0" xfId="0" applyNumberFormat="1" applyFont="1" applyAlignment="1">
      <alignment horizontal="center"/>
    </xf>
    <xf numFmtId="7" fontId="4" fillId="0" borderId="0" xfId="0" applyNumberFormat="1" applyFont="1" applyAlignment="1">
      <alignment horizontal="left"/>
    </xf>
    <xf numFmtId="7" fontId="5" fillId="0" borderId="0" xfId="0" applyNumberFormat="1" applyFont="1"/>
    <xf numFmtId="7" fontId="0" fillId="0" borderId="0" xfId="0" applyNumberFormat="1" applyAlignment="1">
      <alignment horizontal="right"/>
    </xf>
    <xf numFmtId="165" fontId="0" fillId="0" borderId="0" xfId="0" applyNumberFormat="1"/>
    <xf numFmtId="165" fontId="4" fillId="0" borderId="0" xfId="0" applyNumberFormat="1" applyFont="1"/>
    <xf numFmtId="164" fontId="4" fillId="0" borderId="2" xfId="0" applyNumberFormat="1" applyFont="1" applyBorder="1"/>
    <xf numFmtId="164" fontId="0" fillId="0" borderId="0" xfId="0" applyNumberFormat="1" applyAlignment="1">
      <alignment horizontal="center"/>
    </xf>
    <xf numFmtId="164" fontId="14" fillId="0" borderId="0" xfId="0" applyNumberFormat="1" applyFont="1"/>
    <xf numFmtId="7" fontId="14" fillId="0" borderId="0" xfId="0" applyNumberFormat="1" applyFont="1"/>
    <xf numFmtId="164" fontId="15" fillId="0" borderId="0" xfId="0" applyNumberFormat="1" applyFont="1"/>
    <xf numFmtId="7" fontId="0" fillId="0" borderId="6" xfId="0" applyNumberFormat="1" applyBorder="1"/>
    <xf numFmtId="0" fontId="0" fillId="0" borderId="0" xfId="0" applyAlignment="1">
      <alignment horizontal="center"/>
    </xf>
    <xf numFmtId="164" fontId="3" fillId="0" borderId="0" xfId="0" applyNumberFormat="1" applyFont="1"/>
    <xf numFmtId="14" fontId="4" fillId="0" borderId="0" xfId="0" applyNumberFormat="1" applyFont="1" applyAlignment="1">
      <alignment horizontal="left"/>
    </xf>
    <xf numFmtId="7" fontId="10" fillId="0" borderId="0" xfId="0" applyNumberFormat="1" applyFont="1"/>
    <xf numFmtId="7" fontId="4" fillId="0" borderId="9" xfId="0" applyNumberFormat="1" applyFont="1" applyBorder="1"/>
    <xf numFmtId="7" fontId="5" fillId="0" borderId="10" xfId="0" applyNumberFormat="1" applyFont="1" applyBorder="1"/>
    <xf numFmtId="0" fontId="0" fillId="0" borderId="11" xfId="0" applyBorder="1" applyAlignment="1">
      <alignment horizontal="center"/>
    </xf>
    <xf numFmtId="7" fontId="12" fillId="0" borderId="0" xfId="0" applyNumberFormat="1" applyFont="1"/>
    <xf numFmtId="0" fontId="12" fillId="0" borderId="0" xfId="0" applyFont="1" applyAlignment="1">
      <alignment horizontal="center"/>
    </xf>
    <xf numFmtId="7" fontId="16" fillId="0" borderId="0" xfId="0" applyNumberFormat="1" applyFont="1"/>
    <xf numFmtId="166" fontId="10" fillId="0" borderId="0" xfId="0" applyNumberFormat="1" applyFont="1"/>
    <xf numFmtId="166" fontId="0" fillId="0" borderId="0" xfId="0" applyNumberFormat="1"/>
    <xf numFmtId="165" fontId="10" fillId="0" borderId="0" xfId="0" applyNumberFormat="1" applyFont="1"/>
    <xf numFmtId="166" fontId="10" fillId="0" borderId="0" xfId="0" applyNumberFormat="1" applyFont="1" applyAlignment="1">
      <alignment horizontal="right"/>
    </xf>
    <xf numFmtId="0" fontId="17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left"/>
    </xf>
    <xf numFmtId="7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64" fontId="10" fillId="0" borderId="0" xfId="0" quotePrefix="1" applyNumberFormat="1" applyFont="1" applyAlignment="1">
      <alignment horizontal="left"/>
    </xf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0" fontId="25" fillId="0" borderId="0" xfId="0" applyFont="1"/>
    <xf numFmtId="166" fontId="10" fillId="0" borderId="0" xfId="0" applyNumberFormat="1" applyFont="1" applyAlignment="1">
      <alignment horizontal="left"/>
    </xf>
    <xf numFmtId="1" fontId="0" fillId="0" borderId="0" xfId="0" applyNumberFormat="1" applyAlignment="1">
      <alignment horizontal="right"/>
    </xf>
    <xf numFmtId="164" fontId="10" fillId="0" borderId="0" xfId="0" quotePrefix="1" applyNumberFormat="1" applyFont="1" applyAlignment="1">
      <alignment horizontal="left" wrapText="1"/>
    </xf>
    <xf numFmtId="16" fontId="0" fillId="0" borderId="0" xfId="0" quotePrefix="1" applyNumberFormat="1" applyAlignment="1">
      <alignment horizontal="left"/>
    </xf>
    <xf numFmtId="0" fontId="6" fillId="0" borderId="13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7" fontId="25" fillId="0" borderId="0" xfId="0" applyNumberFormat="1" applyFont="1" applyAlignment="1">
      <alignment horizontal="center"/>
    </xf>
    <xf numFmtId="164" fontId="6" fillId="0" borderId="12" xfId="0" applyNumberFormat="1" applyFont="1" applyBorder="1" applyAlignment="1">
      <alignment horizontal="center" wrapText="1"/>
    </xf>
    <xf numFmtId="164" fontId="8" fillId="5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7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10" fillId="0" borderId="0" xfId="0" applyNumberFormat="1" applyFont="1" applyAlignment="1">
      <alignment vertical="center"/>
    </xf>
    <xf numFmtId="8" fontId="4" fillId="0" borderId="0" xfId="0" applyNumberFormat="1" applyFont="1"/>
    <xf numFmtId="0" fontId="10" fillId="0" borderId="0" xfId="0" applyFont="1" applyAlignment="1">
      <alignment vertical="center" wrapText="1"/>
    </xf>
    <xf numFmtId="164" fontId="6" fillId="0" borderId="13" xfId="0" applyNumberFormat="1" applyFont="1" applyBorder="1" applyAlignment="1">
      <alignment horizontal="center" wrapText="1"/>
    </xf>
    <xf numFmtId="17" fontId="10" fillId="0" borderId="0" xfId="0" applyNumberFormat="1" applyFont="1"/>
    <xf numFmtId="164" fontId="10" fillId="2" borderId="0" xfId="0" applyNumberFormat="1" applyFont="1" applyFill="1" applyAlignment="1">
      <alignment horizontal="center"/>
    </xf>
    <xf numFmtId="0" fontId="3" fillId="0" borderId="12" xfId="0" applyFont="1" applyBorder="1" applyAlignment="1">
      <alignment horizontal="center" wrapText="1"/>
    </xf>
    <xf numFmtId="164" fontId="0" fillId="2" borderId="0" xfId="0" applyNumberFormat="1" applyFill="1"/>
    <xf numFmtId="164" fontId="0" fillId="2" borderId="0" xfId="0" applyNumberFormat="1" applyFill="1" applyAlignment="1">
      <alignment horizontal="right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11" xfId="0" applyFill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12" fillId="0" borderId="0" xfId="0" applyNumberFormat="1" applyFont="1" applyAlignment="1">
      <alignment horizontal="center"/>
    </xf>
    <xf numFmtId="7" fontId="10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" fontId="10" fillId="0" borderId="0" xfId="0" applyNumberFormat="1" applyFont="1"/>
    <xf numFmtId="0" fontId="4" fillId="4" borderId="8" xfId="0" applyFont="1" applyFill="1" applyBorder="1" applyAlignment="1">
      <alignment horizontal="center"/>
    </xf>
    <xf numFmtId="166" fontId="0" fillId="0" borderId="0" xfId="0" applyNumberFormat="1" applyAlignment="1">
      <alignment horizontal="left"/>
    </xf>
    <xf numFmtId="7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6" fillId="0" borderId="0" xfId="0" applyFont="1"/>
    <xf numFmtId="7" fontId="26" fillId="0" borderId="0" xfId="0" applyNumberFormat="1" applyFont="1"/>
    <xf numFmtId="166" fontId="0" fillId="0" borderId="0" xfId="0" quotePrefix="1" applyNumberFormat="1" applyAlignment="1">
      <alignment horizontal="left"/>
    </xf>
    <xf numFmtId="167" fontId="10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20" fillId="0" borderId="5" xfId="0" applyFont="1" applyBorder="1"/>
    <xf numFmtId="0" fontId="19" fillId="0" borderId="1" xfId="0" applyFont="1" applyBorder="1"/>
    <xf numFmtId="0" fontId="0" fillId="0" borderId="14" xfId="0" applyBorder="1"/>
    <xf numFmtId="0" fontId="19" fillId="0" borderId="6" xfId="0" applyFont="1" applyBorder="1"/>
    <xf numFmtId="0" fontId="19" fillId="0" borderId="0" xfId="0" applyFont="1"/>
    <xf numFmtId="0" fontId="0" fillId="0" borderId="15" xfId="0" applyBorder="1"/>
    <xf numFmtId="0" fontId="18" fillId="0" borderId="0" xfId="0" applyFont="1"/>
    <xf numFmtId="0" fontId="10" fillId="4" borderId="0" xfId="0" applyFont="1" applyFill="1"/>
    <xf numFmtId="0" fontId="21" fillId="0" borderId="3" xfId="0" applyFont="1" applyBorder="1" applyAlignment="1">
      <alignment horizontal="center" wrapText="1"/>
    </xf>
    <xf numFmtId="0" fontId="0" fillId="0" borderId="16" xfId="0" applyBorder="1"/>
    <xf numFmtId="0" fontId="0" fillId="0" borderId="0" xfId="0" applyAlignment="1">
      <alignment wrapText="1"/>
    </xf>
    <xf numFmtId="0" fontId="8" fillId="0" borderId="12" xfId="0" applyFont="1" applyBorder="1"/>
    <xf numFmtId="0" fontId="8" fillId="6" borderId="12" xfId="0" applyFont="1" applyFill="1" applyBorder="1"/>
    <xf numFmtId="14" fontId="10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19" fillId="0" borderId="7" xfId="0" applyFont="1" applyBorder="1"/>
    <xf numFmtId="0" fontId="19" fillId="0" borderId="3" xfId="0" applyFont="1" applyBorder="1"/>
    <xf numFmtId="0" fontId="21" fillId="0" borderId="0" xfId="0" applyFont="1" applyAlignment="1">
      <alignment horizontal="center" wrapText="1"/>
    </xf>
    <xf numFmtId="0" fontId="10" fillId="4" borderId="0" xfId="0" applyFont="1" applyFill="1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left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10" fillId="0" borderId="0" xfId="0" quotePrefix="1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7" fontId="25" fillId="4" borderId="0" xfId="0" applyNumberFormat="1" applyFont="1" applyFill="1" applyAlignment="1">
      <alignment horizontal="center"/>
    </xf>
    <xf numFmtId="164" fontId="4" fillId="4" borderId="2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17" fontId="3" fillId="0" borderId="0" xfId="0" applyNumberFormat="1" applyFont="1"/>
    <xf numFmtId="7" fontId="3" fillId="0" borderId="0" xfId="0" applyNumberFormat="1" applyFont="1" applyAlignment="1">
      <alignment horizontal="left"/>
    </xf>
    <xf numFmtId="164" fontId="25" fillId="4" borderId="0" xfId="0" applyNumberFormat="1" applyFont="1" applyFill="1"/>
    <xf numFmtId="14" fontId="3" fillId="0" borderId="0" xfId="0" applyNumberFormat="1" applyFont="1"/>
    <xf numFmtId="0" fontId="3" fillId="0" borderId="0" xfId="0" applyFont="1" applyAlignment="1">
      <alignment horizontal="center"/>
    </xf>
    <xf numFmtId="7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164" fontId="3" fillId="0" borderId="0" xfId="0" quotePrefix="1" applyNumberFormat="1" applyFont="1" applyAlignment="1">
      <alignment horizontal="left" wrapText="1"/>
    </xf>
    <xf numFmtId="7" fontId="3" fillId="0" borderId="0" xfId="0" applyNumberFormat="1" applyFont="1" applyAlignment="1">
      <alignment horizontal="left" vertical="center"/>
    </xf>
    <xf numFmtId="0" fontId="3" fillId="0" borderId="0" xfId="0" quotePrefix="1" applyFont="1"/>
    <xf numFmtId="2" fontId="6" fillId="0" borderId="0" xfId="0" applyNumberFormat="1" applyFont="1" applyAlignment="1">
      <alignment horizontal="center" wrapText="1"/>
    </xf>
    <xf numFmtId="164" fontId="0" fillId="4" borderId="12" xfId="0" applyNumberForma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7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22" fillId="0" borderId="0" xfId="0" applyFont="1"/>
    <xf numFmtId="0" fontId="10" fillId="0" borderId="0" xfId="0" applyFont="1" applyAlignment="1">
      <alignment horizontal="left" vertical="center" wrapText="1"/>
    </xf>
    <xf numFmtId="2" fontId="0" fillId="0" borderId="0" xfId="0" applyNumberFormat="1" applyAlignment="1">
      <alignment horizontal="center" wrapText="1"/>
    </xf>
    <xf numFmtId="0" fontId="3" fillId="0" borderId="0" xfId="0" applyFont="1" applyAlignment="1">
      <alignment horizontal="left" wrapText="1"/>
    </xf>
    <xf numFmtId="7" fontId="10" fillId="0" borderId="0" xfId="0" applyNumberFormat="1" applyFont="1" applyAlignment="1">
      <alignment vertical="center"/>
    </xf>
    <xf numFmtId="0" fontId="6" fillId="0" borderId="0" xfId="0" applyFont="1" applyAlignment="1">
      <alignment wrapText="1"/>
    </xf>
    <xf numFmtId="3" fontId="11" fillId="0" borderId="0" xfId="0" applyNumberFormat="1" applyFont="1"/>
    <xf numFmtId="3" fontId="6" fillId="0" borderId="0" xfId="0" applyNumberFormat="1" applyFont="1"/>
    <xf numFmtId="3" fontId="12" fillId="0" borderId="0" xfId="0" applyNumberFormat="1" applyFont="1"/>
    <xf numFmtId="0" fontId="6" fillId="0" borderId="0" xfId="0" applyFont="1" applyAlignment="1">
      <alignment vertical="center" wrapText="1"/>
    </xf>
    <xf numFmtId="3" fontId="11" fillId="0" borderId="0" xfId="0" applyNumberFormat="1" applyFont="1" applyAlignment="1">
      <alignment horizontal="right"/>
    </xf>
    <xf numFmtId="14" fontId="10" fillId="0" borderId="0" xfId="0" applyNumberFormat="1" applyFont="1"/>
    <xf numFmtId="0" fontId="11" fillId="0" borderId="0" xfId="0" applyFont="1" applyAlignment="1">
      <alignment horizontal="right"/>
    </xf>
    <xf numFmtId="14" fontId="3" fillId="0" borderId="0" xfId="0" applyNumberFormat="1" applyFont="1" applyAlignment="1">
      <alignment vertical="center" wrapText="1"/>
    </xf>
    <xf numFmtId="7" fontId="0" fillId="0" borderId="0" xfId="0" applyNumberFormat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14" fontId="6" fillId="0" borderId="0" xfId="0" applyNumberFormat="1" applyFont="1"/>
    <xf numFmtId="0" fontId="12" fillId="0" borderId="0" xfId="0" applyFont="1"/>
    <xf numFmtId="14" fontId="6" fillId="0" borderId="0" xfId="0" applyNumberFormat="1" applyFont="1" applyAlignment="1">
      <alignment horizontal="left"/>
    </xf>
    <xf numFmtId="164" fontId="3" fillId="0" borderId="0" xfId="0" applyNumberFormat="1" applyFont="1" applyAlignment="1">
      <alignment vertical="center"/>
    </xf>
    <xf numFmtId="0" fontId="0" fillId="9" borderId="12" xfId="0" applyFill="1" applyBorder="1"/>
    <xf numFmtId="0" fontId="3" fillId="0" borderId="0" xfId="0" applyFont="1" applyAlignment="1">
      <alignment horizontal="left" vertical="center"/>
    </xf>
    <xf numFmtId="0" fontId="4" fillId="10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38" fontId="28" fillId="0" borderId="0" xfId="0" applyNumberFormat="1" applyFont="1"/>
    <xf numFmtId="0" fontId="4" fillId="11" borderId="8" xfId="0" applyFont="1" applyFill="1" applyBorder="1" applyAlignment="1">
      <alignment horizontal="center"/>
    </xf>
    <xf numFmtId="0" fontId="4" fillId="8" borderId="13" xfId="0" applyFont="1" applyFill="1" applyBorder="1"/>
    <xf numFmtId="0" fontId="4" fillId="0" borderId="17" xfId="0" applyFont="1" applyBorder="1"/>
    <xf numFmtId="0" fontId="4" fillId="0" borderId="8" xfId="0" applyFont="1" applyBorder="1"/>
    <xf numFmtId="0" fontId="4" fillId="0" borderId="18" xfId="0" applyFont="1" applyBorder="1"/>
    <xf numFmtId="164" fontId="0" fillId="0" borderId="23" xfId="0" applyNumberFormat="1" applyBorder="1" applyAlignment="1">
      <alignment horizontal="center"/>
    </xf>
    <xf numFmtId="166" fontId="4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 vertical="center"/>
    </xf>
    <xf numFmtId="0" fontId="23" fillId="0" borderId="0" xfId="1" applyFont="1" applyFill="1" applyBorder="1" applyAlignment="1"/>
    <xf numFmtId="164" fontId="3" fillId="0" borderId="0" xfId="0" applyNumberFormat="1" applyFont="1" applyAlignment="1">
      <alignment horizontal="left"/>
    </xf>
    <xf numFmtId="4" fontId="0" fillId="0" borderId="0" xfId="0" applyNumberFormat="1" applyAlignment="1">
      <alignment vertical="center"/>
    </xf>
    <xf numFmtId="0" fontId="3" fillId="4" borderId="0" xfId="0" applyFont="1" applyFill="1"/>
    <xf numFmtId="0" fontId="8" fillId="12" borderId="12" xfId="0" applyFont="1" applyFill="1" applyBorder="1"/>
    <xf numFmtId="0" fontId="3" fillId="0" borderId="0" xfId="0" applyFont="1" applyAlignment="1">
      <alignment vertical="center" wrapText="1"/>
    </xf>
    <xf numFmtId="166" fontId="10" fillId="0" borderId="0" xfId="0" applyNumberFormat="1" applyFont="1" applyAlignment="1">
      <alignment vertical="center"/>
    </xf>
    <xf numFmtId="38" fontId="2" fillId="0" borderId="0" xfId="0" applyNumberFormat="1" applyFont="1"/>
    <xf numFmtId="164" fontId="10" fillId="4" borderId="0" xfId="0" quotePrefix="1" applyNumberFormat="1" applyFont="1" applyFill="1" applyAlignment="1">
      <alignment vertic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9" fillId="0" borderId="7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3" fillId="0" borderId="0" xfId="0" applyFont="1" applyFill="1" applyAlignment="1">
      <alignment horizontal="left" wrapText="1"/>
    </xf>
  </cellXfs>
  <cellStyles count="2">
    <cellStyle name="40% - Accent2" xfId="1" builtinId="35"/>
    <cellStyle name="Normal" xfId="0" builtinId="0"/>
  </cellStyles>
  <dxfs count="0"/>
  <tableStyles count="0" defaultTableStyle="TableStyleMedium2" defaultPivotStyle="PivotStyleLight16"/>
  <colors>
    <mruColors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6</xdr:row>
      <xdr:rowOff>60325</xdr:rowOff>
    </xdr:from>
    <xdr:to>
      <xdr:col>8</xdr:col>
      <xdr:colOff>958850</xdr:colOff>
      <xdr:row>6</xdr:row>
      <xdr:rowOff>60325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B5203E7-C202-AB6D-D97E-B09AF26209F4}"/>
            </a:ext>
          </a:extLst>
        </xdr:cNvPr>
        <xdr:cNvCxnSpPr/>
      </xdr:nvCxnSpPr>
      <xdr:spPr>
        <a:xfrm>
          <a:off x="9734550" y="1371600"/>
          <a:ext cx="3619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08"/>
  <sheetViews>
    <sheetView tabSelected="1" zoomScaleNormal="100" workbookViewId="0">
      <selection activeCell="C110" sqref="C110"/>
    </sheetView>
  </sheetViews>
  <sheetFormatPr defaultRowHeight="12.75" x14ac:dyDescent="0.2"/>
  <cols>
    <col min="1" max="1" width="21" customWidth="1"/>
    <col min="2" max="2" width="15" customWidth="1"/>
    <col min="3" max="3" width="57.85546875" customWidth="1"/>
    <col min="4" max="4" width="12.7109375" hidden="1" customWidth="1"/>
    <col min="5" max="5" width="19.140625" customWidth="1"/>
    <col min="6" max="6" width="18.5703125" hidden="1" customWidth="1"/>
    <col min="7" max="7" width="2.7109375" customWidth="1"/>
    <col min="8" max="8" width="9.7109375" hidden="1" customWidth="1"/>
    <col min="9" max="9" width="17.5703125" hidden="1" customWidth="1"/>
    <col min="10" max="10" width="10.140625" hidden="1" customWidth="1"/>
    <col min="11" max="11" width="9.7109375" hidden="1" customWidth="1"/>
    <col min="12" max="17" width="11.7109375" hidden="1" customWidth="1"/>
    <col min="18" max="18" width="16.85546875" hidden="1" customWidth="1"/>
    <col min="19" max="19" width="15" hidden="1" customWidth="1"/>
    <col min="20" max="20" width="16" hidden="1" customWidth="1"/>
    <col min="21" max="22" width="16.5703125" hidden="1" customWidth="1"/>
    <col min="23" max="23" width="14.7109375" hidden="1" customWidth="1"/>
    <col min="24" max="24" width="14.85546875" hidden="1" customWidth="1"/>
    <col min="25" max="25" width="16.85546875" hidden="1" customWidth="1"/>
    <col min="26" max="28" width="12.85546875" hidden="1" customWidth="1"/>
    <col min="29" max="29" width="19.85546875" hidden="1" customWidth="1"/>
    <col min="30" max="30" width="17.7109375" hidden="1" customWidth="1"/>
    <col min="31" max="31" width="17.42578125" hidden="1" customWidth="1"/>
    <col min="32" max="32" width="31.85546875" hidden="1" customWidth="1"/>
    <col min="33" max="33" width="22" hidden="1" customWidth="1"/>
    <col min="34" max="34" width="10.140625" hidden="1" customWidth="1"/>
    <col min="35" max="35" width="21.85546875" hidden="1" customWidth="1"/>
    <col min="36" max="36" width="1.85546875" hidden="1" customWidth="1"/>
    <col min="37" max="37" width="75" hidden="1" customWidth="1"/>
    <col min="38" max="38" width="12.28515625" hidden="1" customWidth="1"/>
    <col min="39" max="39" width="16" hidden="1" customWidth="1"/>
    <col min="40" max="40" width="16.7109375" hidden="1" customWidth="1"/>
    <col min="41" max="43" width="14.140625" hidden="1" customWidth="1"/>
    <col min="44" max="44" width="14.42578125" hidden="1" customWidth="1"/>
    <col min="45" max="45" width="12.5703125" hidden="1" customWidth="1"/>
    <col min="46" max="46" width="22.140625" hidden="1" customWidth="1"/>
    <col min="47" max="47" width="19.42578125" hidden="1" customWidth="1"/>
    <col min="48" max="48" width="9.42578125" hidden="1" customWidth="1"/>
    <col min="49" max="49" width="14.42578125" hidden="1" customWidth="1"/>
    <col min="50" max="50" width="13" hidden="1" customWidth="1"/>
    <col min="51" max="108" width="0" hidden="1" customWidth="1"/>
  </cols>
  <sheetData>
    <row r="1" spans="1:50" x14ac:dyDescent="0.2">
      <c r="A1" s="1" t="s">
        <v>58</v>
      </c>
      <c r="G1" s="7"/>
      <c r="H1" s="8"/>
      <c r="I1" s="8"/>
      <c r="J1" s="8"/>
      <c r="K1" s="8"/>
      <c r="L1" s="8"/>
      <c r="M1" s="8"/>
      <c r="N1" s="8"/>
      <c r="O1" s="8"/>
      <c r="P1" s="8"/>
      <c r="Q1" s="8"/>
    </row>
    <row r="2" spans="1:50" hidden="1" x14ac:dyDescent="0.2">
      <c r="G2" s="7"/>
      <c r="H2" s="8"/>
      <c r="I2" s="8"/>
      <c r="J2" s="8"/>
      <c r="K2" s="8"/>
      <c r="L2" s="8"/>
      <c r="M2" s="8"/>
      <c r="N2" s="8"/>
      <c r="O2" s="8"/>
      <c r="P2" s="8"/>
      <c r="Q2" s="8"/>
    </row>
    <row r="3" spans="1:50" hidden="1" x14ac:dyDescent="0.2"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150"/>
    </row>
    <row r="4" spans="1:50" ht="13.5" hidden="1" thickBot="1" x14ac:dyDescent="0.25">
      <c r="A4" s="1"/>
      <c r="G4" s="7"/>
      <c r="H4" s="8"/>
      <c r="I4" s="7" t="s">
        <v>21</v>
      </c>
      <c r="J4" s="8"/>
      <c r="K4" s="8"/>
      <c r="L4" s="8"/>
      <c r="M4" s="8"/>
      <c r="N4" s="8"/>
      <c r="O4" s="8"/>
      <c r="P4" s="8"/>
      <c r="Q4" s="8"/>
      <c r="AH4" s="4"/>
      <c r="AT4" s="1"/>
    </row>
    <row r="5" spans="1:50" ht="13.5" hidden="1" customHeight="1" thickTop="1" thickBot="1" x14ac:dyDescent="0.25">
      <c r="A5" s="2"/>
      <c r="B5" s="2"/>
      <c r="C5" s="2"/>
      <c r="D5" s="2"/>
      <c r="E5" s="2"/>
      <c r="F5" s="2"/>
      <c r="G5" s="9"/>
      <c r="H5" s="8"/>
      <c r="I5" s="8"/>
      <c r="J5" s="151"/>
      <c r="K5" s="151"/>
      <c r="L5" s="151"/>
      <c r="M5" s="151"/>
      <c r="N5" s="151"/>
      <c r="O5" s="151"/>
      <c r="P5" s="229"/>
      <c r="Q5" s="152"/>
      <c r="R5" s="212"/>
      <c r="S5" s="127"/>
      <c r="T5" s="127"/>
      <c r="U5" s="44"/>
      <c r="V5" s="44"/>
      <c r="W5" s="44"/>
      <c r="X5" s="214"/>
      <c r="Y5" s="214"/>
      <c r="Z5" s="214"/>
      <c r="AA5" s="215"/>
      <c r="AB5" s="215"/>
      <c r="AC5" s="217"/>
      <c r="AD5" s="218"/>
      <c r="AE5" s="219"/>
      <c r="AL5" s="234" t="s">
        <v>2</v>
      </c>
      <c r="AM5" s="235"/>
      <c r="AN5" s="234" t="s">
        <v>3</v>
      </c>
      <c r="AO5" s="236"/>
      <c r="AP5" s="236"/>
      <c r="AQ5" s="236"/>
      <c r="AR5" s="235"/>
      <c r="AT5" s="21"/>
      <c r="AU5" s="239"/>
      <c r="AV5" s="239"/>
      <c r="AW5" s="239"/>
    </row>
    <row r="6" spans="1:50" ht="90.75" hidden="1" thickTop="1" thickBot="1" x14ac:dyDescent="0.25">
      <c r="G6" s="8"/>
      <c r="H6" s="8"/>
      <c r="I6" s="9" t="s">
        <v>1</v>
      </c>
      <c r="J6" s="95" t="str">
        <f>C84</f>
        <v>Salary of Director</v>
      </c>
      <c r="K6" s="95" t="str">
        <f>C85</f>
        <v>Deputy Director (Program)</v>
      </c>
      <c r="L6" s="111" t="str">
        <f>C86</f>
        <v>Administrative Finance Officer</v>
      </c>
      <c r="M6" s="111" t="str">
        <f>C87</f>
        <v>Security Guard</v>
      </c>
      <c r="N6" s="111" t="str">
        <f>C89</f>
        <v>Holiday gifts for Employees ($25 for each of two holidays)</v>
      </c>
      <c r="O6" s="111" t="str">
        <f>C88</f>
        <v>Main office expenses</v>
      </c>
      <c r="P6" s="111" t="str">
        <f>C90</f>
        <v>Expenses for wires (amount sent less amount received)</v>
      </c>
      <c r="Q6" s="111" t="str">
        <f>C95</f>
        <v>Qala-e-Malakh BHC- salaries</v>
      </c>
      <c r="R6" s="97" t="str">
        <f>C96</f>
        <v>Qala-e-Malakh BHC General Operational Costs</v>
      </c>
      <c r="S6" s="96" t="str">
        <f>C98</f>
        <v>Tangi Tokhchi BHC-  Salaries</v>
      </c>
      <c r="T6" s="96" t="str">
        <f>C99</f>
        <v>Tangi Tokhchi BHC- General Operation Cost</v>
      </c>
      <c r="U6" s="114" t="str">
        <f>C101</f>
        <v>Food for Ramadan</v>
      </c>
      <c r="V6" s="114" t="str">
        <f>C102</f>
        <v>Food for Qurbani</v>
      </c>
      <c r="W6" s="97" t="str">
        <f>C103</f>
        <v>Helping Returnees from Pakistan -Emergemcy Assistance</v>
      </c>
      <c r="X6" s="97" t="str">
        <f>C105</f>
        <v>Emergency Assistance-  Salaries</v>
      </c>
      <c r="Y6" s="97" t="str">
        <f>C106</f>
        <v>Emergency Assistance- General Operation Cost</v>
      </c>
      <c r="Z6" s="97" t="str">
        <f>C107</f>
        <v>Earthquake (Herat area) Relief  Flood Assistance</v>
      </c>
      <c r="AA6" s="97" t="str">
        <f>C109</f>
        <v>Educational Assistance - Student Sponsorship</v>
      </c>
      <c r="AB6" s="97" t="str">
        <f>C110</f>
        <v>Educational assistance - Ongoing and New Home School, 2 reg. school teachers</v>
      </c>
      <c r="AC6" s="97" t="str">
        <f>C112</f>
        <v>Special Project -  Safe drinking water borewell &amp; Ricksha program</v>
      </c>
      <c r="AD6" s="97" t="str">
        <f>C114</f>
        <v>Medical Assistance to the needy for Advance treatment</v>
      </c>
      <c r="AF6" s="99" t="s">
        <v>33</v>
      </c>
      <c r="AG6" s="189"/>
      <c r="AH6" s="190"/>
      <c r="AI6" s="81" t="s">
        <v>27</v>
      </c>
      <c r="AJ6" s="81"/>
      <c r="AK6" s="82"/>
      <c r="AL6" s="118" t="str">
        <f>C126</f>
        <v>Bank &amp; Wire fees, post office box rental</v>
      </c>
      <c r="AM6" s="118" t="str">
        <f>C130</f>
        <v>Fundraising expenses(includes website)</v>
      </c>
      <c r="AN6" s="118" t="str">
        <f>C131</f>
        <v>Business liability insurance</v>
      </c>
      <c r="AO6" s="63" t="str">
        <f>C133</f>
        <v>Legal fees</v>
      </c>
      <c r="AP6" s="117" t="str">
        <f>C134</f>
        <v>Accounting fees</v>
      </c>
      <c r="AQ6" s="118" t="str">
        <f>C135</f>
        <v>Student intern honoraria</v>
      </c>
      <c r="AR6" s="118" t="str">
        <f>C132</f>
        <v>Chamber of Commerce membershjip</v>
      </c>
      <c r="AS6" s="158" t="s">
        <v>36</v>
      </c>
      <c r="AU6" s="178" t="s">
        <v>56</v>
      </c>
      <c r="AV6" s="27"/>
      <c r="AW6" s="178" t="s">
        <v>57</v>
      </c>
      <c r="AX6" s="27"/>
    </row>
    <row r="7" spans="1:50" hidden="1" x14ac:dyDescent="0.2">
      <c r="G7" s="8"/>
      <c r="H7" s="8"/>
      <c r="I7" s="5" t="s">
        <v>28</v>
      </c>
      <c r="J7" s="100">
        <f>D84</f>
        <v>4800</v>
      </c>
      <c r="K7" s="100">
        <f>D85</f>
        <v>2400</v>
      </c>
      <c r="L7" s="100">
        <f>D86</f>
        <v>2400</v>
      </c>
      <c r="M7" s="100">
        <f>D87</f>
        <v>1560</v>
      </c>
      <c r="N7" s="100">
        <f>D89</f>
        <v>1450</v>
      </c>
      <c r="O7" s="100">
        <f>D88</f>
        <v>4300</v>
      </c>
      <c r="P7" s="100">
        <f>D90</f>
        <v>5500</v>
      </c>
      <c r="Q7" s="100">
        <f>D95</f>
        <v>26940</v>
      </c>
      <c r="R7" s="113">
        <f>D96</f>
        <v>25743</v>
      </c>
      <c r="S7" s="101">
        <f>D98</f>
        <v>24780</v>
      </c>
      <c r="T7" s="101">
        <f>D99</f>
        <v>25142</v>
      </c>
      <c r="U7" s="101">
        <f>D101</f>
        <v>25060</v>
      </c>
      <c r="V7" s="101">
        <f>D102</f>
        <v>3700</v>
      </c>
      <c r="W7" s="102">
        <f>D103</f>
        <v>5000</v>
      </c>
      <c r="X7" s="115">
        <f>D105</f>
        <v>1440</v>
      </c>
      <c r="Y7" s="101">
        <f>D106</f>
        <v>50140</v>
      </c>
      <c r="Z7" s="101">
        <f>'FY24'!D107</f>
        <v>2785.86</v>
      </c>
      <c r="AA7" s="101">
        <f>D109</f>
        <v>29475</v>
      </c>
      <c r="AB7" s="101">
        <f>D110</f>
        <v>9900</v>
      </c>
      <c r="AC7" s="101">
        <f>D112</f>
        <v>12250</v>
      </c>
      <c r="AD7" s="102">
        <f>D114</f>
        <v>13000</v>
      </c>
      <c r="AF7" s="101">
        <f>SUM(J7:AD7)</f>
        <v>277765.86</v>
      </c>
      <c r="AG7" s="52"/>
      <c r="AI7" s="91"/>
      <c r="AJ7" s="91"/>
      <c r="AK7" s="15"/>
      <c r="AL7" s="115">
        <f>D126</f>
        <v>1200</v>
      </c>
      <c r="AM7" s="115">
        <f>D130</f>
        <v>900</v>
      </c>
      <c r="AN7" s="116">
        <f>D131</f>
        <v>280</v>
      </c>
      <c r="AO7" s="116">
        <f>D133</f>
        <v>100</v>
      </c>
      <c r="AP7" s="116">
        <f>D134</f>
        <v>1400</v>
      </c>
      <c r="AQ7" s="116">
        <f>D135</f>
        <v>1500</v>
      </c>
      <c r="AR7" s="116">
        <f>D132</f>
        <v>180</v>
      </c>
      <c r="AS7" s="4">
        <f>SUM(AL7:AR7)</f>
        <v>5560</v>
      </c>
      <c r="AT7" s="52"/>
      <c r="AU7" s="27"/>
      <c r="AV7" s="27"/>
      <c r="AW7" s="27"/>
    </row>
    <row r="8" spans="1:50" hidden="1" x14ac:dyDescent="0.2">
      <c r="A8" s="3"/>
      <c r="B8" s="79"/>
      <c r="F8" s="15"/>
      <c r="G8" s="7"/>
      <c r="H8" s="8"/>
      <c r="I8" s="5" t="s">
        <v>80</v>
      </c>
      <c r="J8" s="77">
        <v>400</v>
      </c>
      <c r="K8" s="77">
        <v>200</v>
      </c>
      <c r="L8" s="77">
        <v>200</v>
      </c>
      <c r="M8" s="77">
        <v>130</v>
      </c>
      <c r="N8" s="77"/>
      <c r="O8" s="77">
        <v>362</v>
      </c>
      <c r="P8" s="77">
        <v>220</v>
      </c>
      <c r="Q8" s="77">
        <v>2095</v>
      </c>
      <c r="R8" s="52">
        <v>2107</v>
      </c>
      <c r="S8" s="52">
        <v>1330</v>
      </c>
      <c r="T8" s="122">
        <v>2055</v>
      </c>
      <c r="U8" s="52"/>
      <c r="V8" s="52"/>
      <c r="W8" s="122"/>
      <c r="X8" s="122">
        <v>120</v>
      </c>
      <c r="Y8" s="122">
        <f>300+2020</f>
        <v>2320</v>
      </c>
      <c r="Z8" s="122"/>
      <c r="AA8" s="122">
        <v>2645</v>
      </c>
      <c r="AB8" s="122">
        <v>383</v>
      </c>
      <c r="AC8" s="52"/>
      <c r="AD8" s="52">
        <v>455</v>
      </c>
      <c r="AE8" s="52"/>
      <c r="AF8" s="52">
        <f>SUM(J8:AD8)</f>
        <v>15022</v>
      </c>
      <c r="AG8" s="5" t="s">
        <v>80</v>
      </c>
      <c r="AH8" s="92"/>
      <c r="AI8" s="91"/>
      <c r="AJ8" s="91"/>
      <c r="AK8" s="173" t="s">
        <v>94</v>
      </c>
      <c r="AL8" s="52"/>
      <c r="AM8" s="52"/>
      <c r="AN8" s="52"/>
      <c r="AO8" s="85"/>
      <c r="AP8" s="85"/>
      <c r="AQ8" s="85"/>
      <c r="AR8" s="85">
        <v>180</v>
      </c>
      <c r="AS8" s="14">
        <f>AR8+AM9</f>
        <v>208.56</v>
      </c>
      <c r="AT8" t="s">
        <v>99</v>
      </c>
      <c r="AU8" s="4">
        <f>AF8</f>
        <v>15022</v>
      </c>
      <c r="AV8" s="4"/>
      <c r="AW8" s="4">
        <f>AS8+AU8</f>
        <v>15230.56</v>
      </c>
    </row>
    <row r="9" spans="1:50" hidden="1" x14ac:dyDescent="0.2">
      <c r="A9" s="68"/>
      <c r="B9" s="79"/>
      <c r="D9" s="15"/>
      <c r="F9" s="15"/>
      <c r="G9" s="8"/>
      <c r="H9" s="8"/>
      <c r="I9" s="8"/>
      <c r="J9" s="77"/>
      <c r="K9" s="77"/>
      <c r="L9" s="77"/>
      <c r="M9" s="77"/>
      <c r="N9" s="77"/>
      <c r="O9" s="77"/>
      <c r="P9" s="77"/>
      <c r="Q9" s="77"/>
      <c r="R9" s="122"/>
      <c r="S9" s="122"/>
      <c r="T9" s="122"/>
      <c r="U9" s="122"/>
      <c r="V9" s="122"/>
      <c r="W9" s="122"/>
      <c r="X9" s="122" t="s">
        <v>97</v>
      </c>
      <c r="Y9" s="122" t="s">
        <v>98</v>
      </c>
      <c r="Z9" s="122"/>
      <c r="AA9" s="122"/>
      <c r="AB9" s="122"/>
      <c r="AC9" s="122"/>
      <c r="AD9" s="122"/>
      <c r="AE9" s="122"/>
      <c r="AF9" s="20"/>
      <c r="AG9" s="8"/>
      <c r="AI9" s="91"/>
      <c r="AJ9" s="91"/>
      <c r="AK9" s="24" t="s">
        <v>95</v>
      </c>
      <c r="AL9" s="52"/>
      <c r="AM9" s="52">
        <v>28.56</v>
      </c>
      <c r="AN9" s="52"/>
      <c r="AO9" s="52"/>
      <c r="AP9" s="52"/>
      <c r="AQ9" s="52"/>
      <c r="AR9" s="52"/>
      <c r="AS9" s="67"/>
      <c r="AV9" s="4"/>
      <c r="AW9" s="4"/>
      <c r="AX9" s="4"/>
    </row>
    <row r="10" spans="1:50" hidden="1" x14ac:dyDescent="0.2">
      <c r="A10" s="67"/>
      <c r="B10" s="79"/>
      <c r="D10" s="15"/>
      <c r="F10" s="15"/>
      <c r="G10" s="8"/>
      <c r="H10" s="8"/>
      <c r="I10" s="8"/>
      <c r="J10" s="77"/>
      <c r="K10" s="77"/>
      <c r="L10" s="77"/>
      <c r="M10" s="77"/>
      <c r="N10" s="77"/>
      <c r="O10" s="77"/>
      <c r="P10" s="77"/>
      <c r="Q10" s="77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20"/>
      <c r="AG10" s="8"/>
      <c r="AH10" s="92"/>
      <c r="AI10" s="91"/>
      <c r="AJ10" s="91"/>
      <c r="AK10" s="24" t="s">
        <v>102</v>
      </c>
      <c r="AL10" s="52"/>
      <c r="AM10" s="52">
        <v>35.880000000000003</v>
      </c>
      <c r="AN10" s="52"/>
      <c r="AO10" s="52"/>
      <c r="AP10" s="52"/>
      <c r="AQ10" s="52"/>
      <c r="AR10" s="52"/>
      <c r="AS10" s="67"/>
      <c r="AV10" s="41"/>
      <c r="AW10" s="4"/>
      <c r="AX10" s="4"/>
    </row>
    <row r="11" spans="1:50" hidden="1" x14ac:dyDescent="0.2">
      <c r="A11" s="68"/>
      <c r="B11" s="79"/>
      <c r="D11" s="75"/>
      <c r="E11" s="5"/>
      <c r="F11" s="15"/>
      <c r="G11" s="8"/>
      <c r="H11" s="8"/>
      <c r="I11" s="8"/>
      <c r="J11" s="77"/>
      <c r="K11" s="77"/>
      <c r="L11" s="77"/>
      <c r="M11" s="77"/>
      <c r="N11" s="77"/>
      <c r="O11" s="77"/>
      <c r="P11" s="77"/>
      <c r="Q11" s="77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87"/>
      <c r="AF11" s="20"/>
      <c r="AG11" s="8"/>
      <c r="AH11" s="92"/>
      <c r="AI11" s="15"/>
      <c r="AJ11" s="91"/>
      <c r="AK11" s="24" t="s">
        <v>101</v>
      </c>
      <c r="AL11" s="52"/>
      <c r="AM11" s="52">
        <v>248.71</v>
      </c>
      <c r="AN11" s="52"/>
      <c r="AO11" s="52"/>
      <c r="AP11" s="52"/>
      <c r="AQ11" s="52"/>
      <c r="AR11" s="52"/>
      <c r="AS11" s="67"/>
      <c r="AT11" s="52"/>
      <c r="AU11" s="4"/>
      <c r="AV11" s="6"/>
      <c r="AW11" s="41"/>
      <c r="AX11" s="4"/>
    </row>
    <row r="12" spans="1:50" hidden="1" x14ac:dyDescent="0.2">
      <c r="A12" s="70"/>
      <c r="B12" s="79"/>
      <c r="D12" s="15"/>
      <c r="F12" s="15"/>
      <c r="G12" s="8"/>
      <c r="H12" s="8"/>
      <c r="I12" s="8"/>
      <c r="J12" s="77"/>
      <c r="K12" s="77"/>
      <c r="L12" s="77"/>
      <c r="M12" s="77"/>
      <c r="N12" s="77"/>
      <c r="O12" s="77"/>
      <c r="P12" s="77"/>
      <c r="Q12" s="77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87"/>
      <c r="AF12" s="20"/>
      <c r="AG12" s="8"/>
      <c r="AH12" s="13"/>
      <c r="AI12" s="15"/>
      <c r="AJ12" s="91"/>
      <c r="AK12" s="24" t="s">
        <v>103</v>
      </c>
      <c r="AL12" s="52">
        <v>45</v>
      </c>
      <c r="AM12" s="52"/>
      <c r="AN12" s="52"/>
      <c r="AO12" s="52"/>
      <c r="AP12" s="52"/>
      <c r="AQ12" s="52"/>
      <c r="AR12" s="52"/>
      <c r="AS12" s="4">
        <f>AM10+AM11</f>
        <v>284.59000000000003</v>
      </c>
      <c r="AT12" t="s">
        <v>37</v>
      </c>
      <c r="AU12" s="4">
        <f>AF14</f>
        <v>19334</v>
      </c>
      <c r="AV12" s="6"/>
      <c r="AW12" s="41">
        <f>AS12+AU12</f>
        <v>19618.59</v>
      </c>
      <c r="AX12" s="4"/>
    </row>
    <row r="13" spans="1:50" hidden="1" x14ac:dyDescent="0.2">
      <c r="A13" s="67"/>
      <c r="B13" s="79"/>
      <c r="D13" s="15"/>
      <c r="E13" s="5"/>
      <c r="F13" s="15"/>
      <c r="G13" s="8"/>
      <c r="H13" s="8"/>
      <c r="I13" s="8"/>
      <c r="J13" s="77"/>
      <c r="K13" s="77"/>
      <c r="L13" s="77"/>
      <c r="M13" s="77"/>
      <c r="N13" s="77"/>
      <c r="O13" s="77"/>
      <c r="P13" s="77"/>
      <c r="Q13" s="77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87"/>
      <c r="AF13" s="20"/>
      <c r="AG13" s="8"/>
      <c r="AI13" s="15"/>
      <c r="AJ13" s="91"/>
      <c r="AK13" s="24" t="s">
        <v>109</v>
      </c>
      <c r="AL13" s="52"/>
      <c r="AM13" s="52">
        <v>15.61</v>
      </c>
      <c r="AN13" s="52"/>
      <c r="AO13" s="52"/>
      <c r="AR13" s="52"/>
      <c r="AS13" s="67"/>
      <c r="AU13" s="4"/>
      <c r="AV13" s="6"/>
      <c r="AW13" s="6"/>
      <c r="AX13" s="4"/>
    </row>
    <row r="14" spans="1:50" hidden="1" x14ac:dyDescent="0.2">
      <c r="A14" s="67"/>
      <c r="B14" s="80"/>
      <c r="D14" s="15"/>
      <c r="E14" s="5"/>
      <c r="F14" s="15"/>
      <c r="H14" s="8"/>
      <c r="I14" s="5" t="s">
        <v>81</v>
      </c>
      <c r="J14" s="52">
        <v>400</v>
      </c>
      <c r="K14" s="52">
        <v>200</v>
      </c>
      <c r="L14" s="52">
        <v>200</v>
      </c>
      <c r="M14" s="52">
        <v>130</v>
      </c>
      <c r="N14" s="52">
        <v>0</v>
      </c>
      <c r="O14" s="52">
        <v>352</v>
      </c>
      <c r="P14" s="52">
        <v>352</v>
      </c>
      <c r="Q14" s="52">
        <v>2095</v>
      </c>
      <c r="R14" s="52">
        <f>1556+190+10+100+50+120</f>
        <v>2026</v>
      </c>
      <c r="S14" s="52">
        <v>1330</v>
      </c>
      <c r="T14" s="52">
        <f>1318+10+1500+222+50+100</f>
        <v>3200</v>
      </c>
      <c r="U14" s="52"/>
      <c r="V14" s="52"/>
      <c r="W14" s="52"/>
      <c r="X14" s="52">
        <v>120</v>
      </c>
      <c r="Y14" s="52">
        <f>3535-120+2020</f>
        <v>5435</v>
      </c>
      <c r="Z14" s="52"/>
      <c r="AA14" s="52">
        <v>2645</v>
      </c>
      <c r="AB14" s="52">
        <v>383</v>
      </c>
      <c r="AC14" s="52">
        <v>86</v>
      </c>
      <c r="AD14" s="52">
        <v>380</v>
      </c>
      <c r="AE14" s="88"/>
      <c r="AF14" s="52">
        <f>SUM(J14:AD14)</f>
        <v>19334</v>
      </c>
      <c r="AG14" s="5" t="s">
        <v>81</v>
      </c>
      <c r="AH14" s="92"/>
      <c r="AI14" s="15"/>
      <c r="AJ14" s="91"/>
      <c r="AK14" s="24" t="s">
        <v>111</v>
      </c>
      <c r="AL14" s="52">
        <v>45</v>
      </c>
      <c r="AM14" s="52"/>
      <c r="AN14" s="52"/>
      <c r="AO14" s="52"/>
      <c r="AP14" s="52"/>
      <c r="AQ14" s="52"/>
      <c r="AR14" s="52"/>
      <c r="AS14" s="67"/>
      <c r="AU14" s="6"/>
      <c r="AW14" s="4"/>
      <c r="AX14" s="4"/>
    </row>
    <row r="15" spans="1:50" hidden="1" x14ac:dyDescent="0.2">
      <c r="A15" s="67"/>
      <c r="B15" s="80"/>
      <c r="C15" s="15"/>
      <c r="D15" s="75"/>
      <c r="E15" s="5"/>
      <c r="F15" s="15"/>
      <c r="H15" s="8"/>
      <c r="I15" s="8"/>
      <c r="J15" s="77"/>
      <c r="K15" s="77"/>
      <c r="L15" s="77"/>
      <c r="M15" s="77"/>
      <c r="N15" s="77"/>
      <c r="O15" s="77"/>
      <c r="P15" s="77"/>
      <c r="Q15" s="77"/>
      <c r="R15" s="87"/>
      <c r="S15" s="122"/>
      <c r="T15" s="122"/>
      <c r="U15" s="122"/>
      <c r="V15" s="122"/>
      <c r="W15" s="122"/>
      <c r="X15" s="122"/>
      <c r="Y15" s="122" t="s">
        <v>100</v>
      </c>
      <c r="Z15" s="122"/>
      <c r="AA15" s="122"/>
      <c r="AB15" s="122"/>
      <c r="AC15" s="122"/>
      <c r="AD15" s="122"/>
      <c r="AE15" s="159"/>
      <c r="AF15" s="20"/>
      <c r="AG15" s="8"/>
      <c r="AI15" s="91"/>
      <c r="AJ15" s="91"/>
      <c r="AK15" s="24" t="s">
        <v>115</v>
      </c>
      <c r="AL15" s="52"/>
      <c r="AM15" s="52">
        <v>18.100000000000001</v>
      </c>
      <c r="AN15" s="52"/>
      <c r="AO15" s="52"/>
      <c r="AP15" s="52"/>
      <c r="AQ15" s="52"/>
      <c r="AR15" s="52"/>
      <c r="AS15" s="14">
        <f>AL12+AM13</f>
        <v>60.61</v>
      </c>
      <c r="AT15" t="s">
        <v>108</v>
      </c>
      <c r="AU15" s="4">
        <f>AF23</f>
        <v>24600</v>
      </c>
      <c r="AW15" s="41">
        <f>AS15+AU15</f>
        <v>24660.61</v>
      </c>
      <c r="AX15" s="4"/>
    </row>
    <row r="16" spans="1:50" ht="27.95" hidden="1" customHeight="1" x14ac:dyDescent="0.2">
      <c r="A16" s="70"/>
      <c r="B16" s="10"/>
      <c r="C16" s="11"/>
      <c r="D16" s="18"/>
      <c r="E16" s="5"/>
      <c r="G16" s="8"/>
      <c r="H16" s="8"/>
      <c r="I16" s="8"/>
      <c r="J16" s="77"/>
      <c r="K16" s="77"/>
      <c r="L16" s="77"/>
      <c r="M16" s="77"/>
      <c r="N16" s="77"/>
      <c r="O16" s="77"/>
      <c r="P16" s="77"/>
      <c r="Q16" s="77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20"/>
      <c r="AG16" s="8"/>
      <c r="AI16" s="223"/>
      <c r="AJ16" s="84" t="s">
        <v>38</v>
      </c>
      <c r="AK16" s="230" t="s">
        <v>113</v>
      </c>
      <c r="AL16" s="132"/>
      <c r="AM16" s="161"/>
      <c r="AN16" s="161"/>
      <c r="AO16" s="161"/>
      <c r="AP16" s="52">
        <v>1250</v>
      </c>
      <c r="AQ16" s="161"/>
      <c r="AR16" s="161"/>
      <c r="AS16" s="231"/>
      <c r="AT16" s="161"/>
      <c r="AU16" s="161"/>
      <c r="AV16" s="161"/>
      <c r="AW16" s="161"/>
    </row>
    <row r="17" spans="1:49" hidden="1" x14ac:dyDescent="0.2">
      <c r="A17" s="67"/>
      <c r="B17" s="10"/>
      <c r="C17" s="11"/>
      <c r="D17" s="18"/>
      <c r="E17" s="5"/>
      <c r="G17" s="8"/>
      <c r="H17" s="8"/>
      <c r="I17" s="8"/>
      <c r="J17" s="77"/>
      <c r="K17" s="77"/>
      <c r="L17" s="77"/>
      <c r="M17" s="77"/>
      <c r="N17" s="77"/>
      <c r="O17" s="77"/>
      <c r="P17" s="77"/>
      <c r="Q17" s="77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20"/>
      <c r="AG17" s="8"/>
      <c r="AH17" s="92"/>
      <c r="AI17" s="91"/>
      <c r="AJ17" s="84"/>
      <c r="AK17" s="5" t="s">
        <v>114</v>
      </c>
      <c r="AL17" s="52"/>
      <c r="AM17" s="52"/>
      <c r="AN17" s="52">
        <v>262</v>
      </c>
      <c r="AO17" s="52"/>
      <c r="AP17" s="52"/>
      <c r="AQ17" s="52"/>
      <c r="AR17" s="52"/>
      <c r="AS17" s="67"/>
    </row>
    <row r="18" spans="1:49" hidden="1" x14ac:dyDescent="0.2">
      <c r="A18" s="67"/>
      <c r="B18" s="4">
        <f>SUM(B8:B17)</f>
        <v>0</v>
      </c>
      <c r="C18" s="5"/>
      <c r="D18" s="18"/>
      <c r="E18" s="5"/>
      <c r="G18" s="8"/>
      <c r="H18" s="8"/>
      <c r="I18" s="8"/>
      <c r="J18" s="77"/>
      <c r="K18" s="77"/>
      <c r="L18" s="77"/>
      <c r="M18" s="77"/>
      <c r="N18" s="77"/>
      <c r="O18" s="77"/>
      <c r="P18" s="77"/>
      <c r="Q18" s="77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20"/>
      <c r="AG18" s="8"/>
      <c r="AI18" s="91"/>
      <c r="AJ18" s="84"/>
      <c r="AK18" s="24" t="s">
        <v>116</v>
      </c>
      <c r="AM18" s="52">
        <v>21.64</v>
      </c>
      <c r="AN18" s="88"/>
      <c r="AO18" s="52"/>
      <c r="AP18" s="52"/>
      <c r="AQ18" s="52"/>
      <c r="AR18" s="52"/>
      <c r="AS18" s="4">
        <f>AL14+AM15</f>
        <v>63.1</v>
      </c>
      <c r="AT18" t="s">
        <v>40</v>
      </c>
      <c r="AU18" s="4">
        <f>AF28</f>
        <v>16356</v>
      </c>
      <c r="AW18" s="41">
        <f>AS18+AU18</f>
        <v>16419.099999999999</v>
      </c>
    </row>
    <row r="19" spans="1:49" hidden="1" x14ac:dyDescent="0.2">
      <c r="A19" s="67"/>
      <c r="B19" s="4"/>
      <c r="C19" s="5"/>
      <c r="D19" s="5"/>
      <c r="E19" s="5"/>
      <c r="G19" s="8"/>
      <c r="H19" s="8"/>
      <c r="I19" s="8"/>
      <c r="J19" s="45"/>
      <c r="K19" s="45"/>
      <c r="L19" s="45"/>
      <c r="M19" s="45"/>
      <c r="N19" s="45"/>
      <c r="O19" s="45"/>
      <c r="P19" s="45"/>
      <c r="Q19" s="45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20"/>
      <c r="AG19" s="8"/>
      <c r="AH19" s="92"/>
      <c r="AI19" s="91"/>
      <c r="AJ19" s="84"/>
      <c r="AK19" s="24" t="s">
        <v>117</v>
      </c>
      <c r="AL19" s="52">
        <v>45</v>
      </c>
      <c r="AM19" s="52"/>
      <c r="AN19" s="52"/>
      <c r="AO19" s="52"/>
      <c r="AP19" s="52"/>
      <c r="AQ19" s="52"/>
      <c r="AR19" s="52"/>
      <c r="AS19" s="67"/>
    </row>
    <row r="20" spans="1:49" hidden="1" x14ac:dyDescent="0.2">
      <c r="A20" s="3"/>
      <c r="B20" s="4"/>
      <c r="C20" s="5"/>
      <c r="D20" s="5"/>
      <c r="E20" s="5"/>
      <c r="G20" s="8"/>
      <c r="H20" s="8"/>
      <c r="I20" s="8"/>
      <c r="J20" s="45"/>
      <c r="K20" s="45"/>
      <c r="L20" s="45"/>
      <c r="M20" s="45"/>
      <c r="N20" s="45"/>
      <c r="O20" s="45"/>
      <c r="P20" s="45"/>
      <c r="Q20" s="45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20"/>
      <c r="AG20" s="8"/>
      <c r="AH20" s="92"/>
      <c r="AI20" s="128"/>
      <c r="AJ20" s="84"/>
      <c r="AK20" s="24" t="s">
        <v>118</v>
      </c>
      <c r="AL20" s="52">
        <v>120</v>
      </c>
      <c r="AM20" s="52"/>
      <c r="AN20" s="52"/>
      <c r="AO20" s="52"/>
      <c r="AP20" s="52"/>
      <c r="AQ20" s="52"/>
      <c r="AR20" s="52"/>
      <c r="AS20" s="67"/>
      <c r="AU20" s="4"/>
    </row>
    <row r="21" spans="1:49" hidden="1" x14ac:dyDescent="0.2">
      <c r="A21" s="3"/>
      <c r="B21" s="4"/>
      <c r="C21" s="5"/>
      <c r="D21" s="5"/>
      <c r="E21" s="5"/>
      <c r="G21" s="8"/>
      <c r="H21" s="8"/>
      <c r="I21" s="8"/>
      <c r="J21" s="45"/>
      <c r="K21" s="45"/>
      <c r="L21" s="45"/>
      <c r="M21" s="45"/>
      <c r="N21" s="45"/>
      <c r="O21" s="45"/>
      <c r="P21" s="45"/>
      <c r="Q21" s="45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20"/>
      <c r="AG21" s="8"/>
      <c r="AH21" s="92"/>
      <c r="AI21" s="128"/>
      <c r="AJ21" s="84"/>
      <c r="AK21" s="24" t="s">
        <v>120</v>
      </c>
      <c r="AL21" s="52"/>
      <c r="AM21" s="52">
        <v>68.319999999999993</v>
      </c>
      <c r="AN21" s="52"/>
      <c r="AO21" s="52"/>
      <c r="AP21" s="52"/>
      <c r="AQ21" s="52"/>
      <c r="AR21" s="52"/>
      <c r="AS21" s="67"/>
      <c r="AU21" s="4"/>
    </row>
    <row r="22" spans="1:49" hidden="1" x14ac:dyDescent="0.2">
      <c r="A22" s="3"/>
      <c r="B22" s="4"/>
      <c r="C22" s="5"/>
      <c r="D22" s="5"/>
      <c r="E22" s="5"/>
      <c r="G22" s="8"/>
      <c r="H22" s="8"/>
      <c r="I22" s="8"/>
      <c r="J22" s="45"/>
      <c r="K22" s="45"/>
      <c r="L22" s="45"/>
      <c r="M22" s="45"/>
      <c r="N22" s="45"/>
      <c r="O22" s="45"/>
      <c r="P22" s="45"/>
      <c r="Q22" s="45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20"/>
      <c r="AG22" s="8"/>
      <c r="AI22" s="128"/>
      <c r="AJ22" s="84"/>
      <c r="AK22" s="24" t="s">
        <v>121</v>
      </c>
      <c r="AL22" s="52"/>
      <c r="AM22" s="52">
        <v>10.050000000000001</v>
      </c>
      <c r="AN22" s="4"/>
      <c r="AO22" s="52"/>
      <c r="AP22" s="52"/>
      <c r="AQ22" s="52"/>
      <c r="AR22" s="52"/>
      <c r="AS22" s="4">
        <f>AP16+AN17+AM18</f>
        <v>1533.64</v>
      </c>
      <c r="AT22" s="164" t="s">
        <v>41</v>
      </c>
      <c r="AU22" s="4">
        <f>AF32</f>
        <v>20293</v>
      </c>
      <c r="AW22" s="41">
        <f>AS22+AU22</f>
        <v>21826.639999999999</v>
      </c>
    </row>
    <row r="23" spans="1:49" hidden="1" x14ac:dyDescent="0.2">
      <c r="A23" s="3"/>
      <c r="B23" s="4"/>
      <c r="C23" s="5"/>
      <c r="D23" s="5"/>
      <c r="E23" s="5"/>
      <c r="F23" s="5"/>
      <c r="G23" s="8"/>
      <c r="H23" s="8"/>
      <c r="I23" s="24" t="s">
        <v>82</v>
      </c>
      <c r="J23" s="77">
        <v>400</v>
      </c>
      <c r="K23" s="77">
        <v>200</v>
      </c>
      <c r="L23" s="77">
        <v>200</v>
      </c>
      <c r="M23" s="77">
        <v>130</v>
      </c>
      <c r="N23" s="77">
        <v>0</v>
      </c>
      <c r="O23" s="77">
        <f>390+80+50+40+50</f>
        <v>610</v>
      </c>
      <c r="P23" s="77">
        <f>498+850</f>
        <v>1348</v>
      </c>
      <c r="Q23" s="77">
        <v>2247</v>
      </c>
      <c r="R23" s="122">
        <f>1506+210+10+100+50+100</f>
        <v>1976</v>
      </c>
      <c r="S23" s="122">
        <v>1330</v>
      </c>
      <c r="T23" s="122">
        <f>1322+10+85+50+400+100</f>
        <v>1967</v>
      </c>
      <c r="U23" s="122"/>
      <c r="V23" s="122"/>
      <c r="W23" s="122">
        <v>5000</v>
      </c>
      <c r="X23" s="122">
        <v>120</v>
      </c>
      <c r="Y23" s="122">
        <f>2300+450+420+1150+25</f>
        <v>4345</v>
      </c>
      <c r="Z23" s="122"/>
      <c r="AA23" s="122">
        <v>2425</v>
      </c>
      <c r="AB23" s="122">
        <f>300+983</f>
        <v>1283</v>
      </c>
      <c r="AC23" s="122">
        <v>150</v>
      </c>
      <c r="AD23" s="122">
        <v>869</v>
      </c>
      <c r="AE23" s="79"/>
      <c r="AF23" s="52">
        <f>SUM(J23:AD23)</f>
        <v>24600</v>
      </c>
      <c r="AG23" s="24" t="s">
        <v>82</v>
      </c>
      <c r="AH23" s="92"/>
      <c r="AI23" s="128"/>
      <c r="AJ23" s="84"/>
      <c r="AK23" s="24" t="s">
        <v>124</v>
      </c>
      <c r="AL23" s="52"/>
      <c r="AM23" s="52">
        <v>50</v>
      </c>
      <c r="AN23" s="52"/>
      <c r="AO23" s="52"/>
      <c r="AP23" s="52"/>
      <c r="AQ23" s="52"/>
      <c r="AR23" s="52"/>
      <c r="AS23" s="67"/>
      <c r="AV23" s="58"/>
    </row>
    <row r="24" spans="1:49" hidden="1" x14ac:dyDescent="0.2">
      <c r="A24" s="19" t="s">
        <v>6</v>
      </c>
      <c r="B24" s="4"/>
      <c r="C24" s="5"/>
      <c r="D24" s="5"/>
      <c r="E24" s="5"/>
      <c r="F24" s="5"/>
      <c r="G24" s="8"/>
      <c r="H24" s="160"/>
      <c r="I24" s="161"/>
      <c r="J24" s="129"/>
      <c r="K24" s="129"/>
      <c r="L24" s="129"/>
      <c r="M24" s="129"/>
      <c r="N24" s="129"/>
      <c r="O24" s="129"/>
      <c r="P24" s="129"/>
      <c r="Q24" s="129"/>
      <c r="R24" s="130"/>
      <c r="S24" s="130"/>
      <c r="T24" s="130"/>
      <c r="U24" s="130"/>
      <c r="V24" s="130"/>
      <c r="W24" s="130"/>
      <c r="X24" s="130"/>
      <c r="Y24" s="130" t="s">
        <v>105</v>
      </c>
      <c r="Z24" s="130"/>
      <c r="AA24" s="130"/>
      <c r="AB24" s="130"/>
      <c r="AC24" s="163"/>
      <c r="AD24" s="130"/>
      <c r="AE24" s="162"/>
      <c r="AF24" s="227"/>
      <c r="AG24" s="161"/>
      <c r="AH24" s="161"/>
      <c r="AI24" s="224"/>
      <c r="AJ24" s="84"/>
      <c r="AK24" s="171" t="s">
        <v>125</v>
      </c>
      <c r="AL24" s="52"/>
      <c r="AM24" s="132">
        <v>45.3</v>
      </c>
      <c r="AN24" s="132"/>
      <c r="AO24" s="132"/>
      <c r="AP24" s="52"/>
      <c r="AQ24" s="52"/>
      <c r="AR24" s="52"/>
      <c r="AS24" s="126"/>
    </row>
    <row r="25" spans="1:49" hidden="1" x14ac:dyDescent="0.2">
      <c r="A25" s="3"/>
      <c r="B25" s="4"/>
      <c r="C25" s="5"/>
      <c r="D25" s="5"/>
      <c r="E25" s="5"/>
      <c r="F25" s="5"/>
      <c r="G25" s="8"/>
      <c r="H25" s="8"/>
      <c r="J25" s="77"/>
      <c r="K25" s="77"/>
      <c r="L25" s="77"/>
      <c r="M25" s="77"/>
      <c r="N25" s="77"/>
      <c r="O25" s="77"/>
      <c r="P25" s="77"/>
      <c r="Q25" s="77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20"/>
      <c r="AH25" s="92"/>
      <c r="AI25" s="128"/>
      <c r="AJ25" s="84"/>
      <c r="AK25" s="24" t="s">
        <v>136</v>
      </c>
      <c r="AL25" s="52">
        <v>45</v>
      </c>
      <c r="AM25" s="52"/>
      <c r="AN25" s="52"/>
      <c r="AO25" s="52"/>
      <c r="AP25" s="52"/>
      <c r="AQ25" s="52"/>
      <c r="AR25" s="52"/>
      <c r="AS25" s="4">
        <f>AL19+AL20+AM21+AM22</f>
        <v>243.37</v>
      </c>
      <c r="AT25" t="s">
        <v>42</v>
      </c>
      <c r="AU25" s="4">
        <f>AF37</f>
        <v>42949</v>
      </c>
      <c r="AW25" s="41">
        <f>AS25+AU25</f>
        <v>43192.37</v>
      </c>
    </row>
    <row r="26" spans="1:49" hidden="1" x14ac:dyDescent="0.2">
      <c r="A26" s="3"/>
      <c r="C26" s="5"/>
      <c r="D26" s="5"/>
      <c r="E26" s="5"/>
      <c r="F26" s="5"/>
      <c r="G26" s="8"/>
      <c r="H26" s="8"/>
      <c r="J26" s="77"/>
      <c r="K26" s="77"/>
      <c r="L26" s="77"/>
      <c r="M26" s="77"/>
      <c r="N26" s="77"/>
      <c r="O26" s="77"/>
      <c r="P26" s="77"/>
      <c r="Q26" s="77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20"/>
      <c r="AH26" s="92"/>
      <c r="AI26" s="128"/>
      <c r="AJ26" s="84"/>
      <c r="AK26" s="24" t="s">
        <v>137</v>
      </c>
      <c r="AL26" s="52"/>
      <c r="AM26" s="52">
        <v>195.24</v>
      </c>
      <c r="AN26" s="52"/>
      <c r="AO26" s="52"/>
      <c r="AP26" s="52"/>
      <c r="AQ26" s="52"/>
      <c r="AR26" s="52"/>
      <c r="AS26" s="68"/>
    </row>
    <row r="27" spans="1:49" hidden="1" x14ac:dyDescent="0.2">
      <c r="A27" s="3" t="s">
        <v>7</v>
      </c>
      <c r="B27" s="41">
        <v>30117.67</v>
      </c>
      <c r="C27" s="5" t="s">
        <v>61</v>
      </c>
      <c r="D27" s="5"/>
      <c r="E27" s="5"/>
      <c r="F27" s="5"/>
      <c r="G27" s="8"/>
      <c r="H27" s="8"/>
      <c r="J27" s="77"/>
      <c r="K27" s="77"/>
      <c r="L27" s="77"/>
      <c r="M27" s="77"/>
      <c r="N27" s="77"/>
      <c r="O27" s="77"/>
      <c r="P27" s="77"/>
      <c r="Q27" s="77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20"/>
      <c r="AH27" s="92"/>
      <c r="AI27" s="225"/>
      <c r="AJ27" s="84"/>
      <c r="AK27" s="178" t="s">
        <v>138</v>
      </c>
      <c r="AL27" s="52"/>
      <c r="AM27" s="52">
        <v>75</v>
      </c>
      <c r="AN27" s="52"/>
      <c r="AO27" s="52"/>
      <c r="AP27" s="52"/>
      <c r="AQ27" s="52"/>
      <c r="AR27" s="52"/>
      <c r="AS27" s="68"/>
    </row>
    <row r="28" spans="1:49" ht="12.75" hidden="1" customHeight="1" x14ac:dyDescent="0.2">
      <c r="A28" s="68"/>
      <c r="B28" s="195">
        <v>40000</v>
      </c>
      <c r="C28" s="196" t="s">
        <v>106</v>
      </c>
      <c r="D28" s="197"/>
      <c r="F28" s="5"/>
      <c r="G28" s="8"/>
      <c r="H28" s="8"/>
      <c r="I28" s="171" t="s">
        <v>83</v>
      </c>
      <c r="J28" s="129">
        <v>400</v>
      </c>
      <c r="K28" s="129">
        <v>200</v>
      </c>
      <c r="L28" s="129">
        <v>200</v>
      </c>
      <c r="M28" s="129">
        <v>130</v>
      </c>
      <c r="N28" s="129">
        <v>0</v>
      </c>
      <c r="O28" s="129">
        <v>220</v>
      </c>
      <c r="P28" s="129"/>
      <c r="Q28" s="129">
        <v>2247</v>
      </c>
      <c r="R28" s="130">
        <v>2028</v>
      </c>
      <c r="S28" s="122">
        <v>1330</v>
      </c>
      <c r="T28" s="130">
        <v>1628</v>
      </c>
      <c r="U28" s="130"/>
      <c r="V28" s="130"/>
      <c r="W28" s="130">
        <v>0</v>
      </c>
      <c r="X28" s="130">
        <v>120</v>
      </c>
      <c r="Y28" s="130">
        <f>3250+870+25</f>
        <v>4145</v>
      </c>
      <c r="Z28" s="130">
        <v>0</v>
      </c>
      <c r="AA28" s="130">
        <f>1250+1175</f>
        <v>2425</v>
      </c>
      <c r="AB28" s="130">
        <f>633+50+300</f>
        <v>983</v>
      </c>
      <c r="AC28" s="130">
        <v>0</v>
      </c>
      <c r="AD28" s="130">
        <v>300</v>
      </c>
      <c r="AE28" s="131"/>
      <c r="AF28" s="52">
        <f>SUM(J28:AD28)</f>
        <v>16356</v>
      </c>
      <c r="AG28" s="171" t="s">
        <v>83</v>
      </c>
      <c r="AI28" s="225"/>
      <c r="AJ28" s="84"/>
      <c r="AK28" s="24" t="s">
        <v>139</v>
      </c>
      <c r="AL28" s="52"/>
      <c r="AM28" s="52">
        <v>11.64</v>
      </c>
      <c r="AN28" s="52"/>
      <c r="AO28" s="52"/>
      <c r="AP28" s="52"/>
      <c r="AQ28" s="52"/>
      <c r="AR28" s="52"/>
      <c r="AS28" s="4">
        <f>AM23+AM24</f>
        <v>95.3</v>
      </c>
      <c r="AT28" t="s">
        <v>43</v>
      </c>
      <c r="AU28" s="4">
        <f>AF40</f>
        <v>14438</v>
      </c>
      <c r="AW28" s="41">
        <f>AS28+AU28</f>
        <v>14533.3</v>
      </c>
    </row>
    <row r="29" spans="1:49" ht="12.75" hidden="1" customHeight="1" x14ac:dyDescent="0.2">
      <c r="A29" s="68"/>
      <c r="B29" s="195">
        <v>40000</v>
      </c>
      <c r="C29" s="200" t="s">
        <v>107</v>
      </c>
      <c r="D29" s="198"/>
      <c r="E29" s="5"/>
      <c r="F29" s="5"/>
      <c r="G29" s="8"/>
      <c r="H29" s="8"/>
      <c r="J29" s="77"/>
      <c r="K29" s="77"/>
      <c r="L29" s="77"/>
      <c r="M29" s="77"/>
      <c r="N29" s="77"/>
      <c r="O29" s="77"/>
      <c r="P29" s="77"/>
      <c r="Q29" s="77"/>
      <c r="R29" s="122"/>
      <c r="S29" s="122"/>
      <c r="T29" s="122"/>
      <c r="U29" s="122"/>
      <c r="V29" s="122"/>
      <c r="W29" s="122"/>
      <c r="X29" s="122"/>
      <c r="Y29" s="122" t="s">
        <v>110</v>
      </c>
      <c r="Z29" s="122"/>
      <c r="AA29" s="122"/>
      <c r="AB29" s="122"/>
      <c r="AC29" s="122"/>
      <c r="AD29" s="122"/>
      <c r="AE29" s="122"/>
      <c r="AF29" s="20"/>
      <c r="AH29" s="92"/>
      <c r="AI29" s="225"/>
      <c r="AJ29" s="84"/>
      <c r="AK29" s="24" t="s">
        <v>141</v>
      </c>
      <c r="AL29" s="52">
        <v>45</v>
      </c>
      <c r="AM29" s="52"/>
      <c r="AN29" s="52"/>
      <c r="AO29" s="164"/>
      <c r="AP29" s="52"/>
      <c r="AQ29" s="52"/>
      <c r="AR29" s="52"/>
      <c r="AS29" s="68"/>
    </row>
    <row r="30" spans="1:49" hidden="1" x14ac:dyDescent="0.2">
      <c r="A30" s="67"/>
      <c r="B30" s="60">
        <v>40000</v>
      </c>
      <c r="C30" s="196" t="s">
        <v>123</v>
      </c>
      <c r="D30" s="198"/>
      <c r="E30" s="5"/>
      <c r="F30" s="5"/>
      <c r="G30" s="8"/>
      <c r="H30" s="8"/>
      <c r="J30" s="77"/>
      <c r="K30" s="77"/>
      <c r="L30" s="77"/>
      <c r="M30" s="77"/>
      <c r="N30" s="77"/>
      <c r="O30" s="77"/>
      <c r="P30" s="77"/>
      <c r="Q30" s="77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20"/>
      <c r="AI30" s="225"/>
      <c r="AJ30" s="84"/>
      <c r="AK30" s="24" t="s">
        <v>142</v>
      </c>
      <c r="AL30" s="52"/>
      <c r="AM30" s="52">
        <v>11.64</v>
      </c>
      <c r="AN30" s="52"/>
      <c r="AO30" s="52"/>
      <c r="AP30" s="52"/>
      <c r="AQ30" s="52"/>
      <c r="AR30" s="52"/>
      <c r="AS30" s="4">
        <f>AL25+AM26+AM27</f>
        <v>315.24</v>
      </c>
      <c r="AT30" s="164" t="s">
        <v>44</v>
      </c>
      <c r="AU30" s="4">
        <f>AF43</f>
        <v>17760</v>
      </c>
      <c r="AW30" s="41">
        <f>AS30+AU30</f>
        <v>18075.240000000002</v>
      </c>
    </row>
    <row r="31" spans="1:49" hidden="1" x14ac:dyDescent="0.2">
      <c r="A31" s="68"/>
      <c r="B31" s="60">
        <v>6900</v>
      </c>
      <c r="C31" s="196" t="s">
        <v>119</v>
      </c>
      <c r="D31" s="199"/>
      <c r="E31" s="5"/>
      <c r="F31" s="5"/>
      <c r="G31" s="8"/>
      <c r="H31" s="8"/>
      <c r="J31" s="77"/>
      <c r="K31" s="77"/>
      <c r="L31" s="77"/>
      <c r="M31" s="77"/>
      <c r="N31" s="77"/>
      <c r="O31" s="77"/>
      <c r="P31" s="77"/>
      <c r="Q31" s="77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57"/>
      <c r="AE31" s="122"/>
      <c r="AF31" s="20"/>
      <c r="AH31" s="92"/>
      <c r="AI31" s="225"/>
      <c r="AJ31" s="84"/>
      <c r="AK31" s="24" t="s">
        <v>144</v>
      </c>
      <c r="AL31" s="52">
        <v>45</v>
      </c>
      <c r="AM31" s="52"/>
      <c r="AN31" s="52"/>
      <c r="AO31" s="4"/>
      <c r="AP31" s="4"/>
      <c r="AQ31" s="4"/>
      <c r="AR31" s="4"/>
    </row>
    <row r="32" spans="1:49" hidden="1" x14ac:dyDescent="0.2">
      <c r="A32" s="126"/>
      <c r="B32" s="60">
        <v>40000</v>
      </c>
      <c r="C32" s="5" t="s">
        <v>127</v>
      </c>
      <c r="D32" s="199"/>
      <c r="E32" s="5"/>
      <c r="F32" s="5"/>
      <c r="G32" s="8"/>
      <c r="H32" s="8"/>
      <c r="I32" s="24" t="s">
        <v>84</v>
      </c>
      <c r="J32" s="77">
        <v>400</v>
      </c>
      <c r="K32" s="77">
        <v>200</v>
      </c>
      <c r="L32" s="77">
        <v>200</v>
      </c>
      <c r="M32" s="77">
        <v>130</v>
      </c>
      <c r="N32" s="77"/>
      <c r="O32" s="77">
        <f>170</f>
        <v>170</v>
      </c>
      <c r="P32" s="77"/>
      <c r="Q32" s="77">
        <v>2247</v>
      </c>
      <c r="R32" s="122">
        <f>1896</f>
        <v>1896</v>
      </c>
      <c r="S32" s="122">
        <v>1330</v>
      </c>
      <c r="T32" s="122">
        <v>1482</v>
      </c>
      <c r="U32" s="122"/>
      <c r="V32" s="122"/>
      <c r="W32" s="122"/>
      <c r="X32" s="122">
        <v>120</v>
      </c>
      <c r="Y32" s="122">
        <f>4250+870+25</f>
        <v>5145</v>
      </c>
      <c r="Z32" s="122"/>
      <c r="AA32" s="122">
        <v>2425</v>
      </c>
      <c r="AB32" s="122">
        <v>683</v>
      </c>
      <c r="AC32" s="122">
        <v>3500</v>
      </c>
      <c r="AD32" s="122">
        <v>365</v>
      </c>
      <c r="AE32" s="122"/>
      <c r="AF32" s="52">
        <f>SUM(J32:AD32)</f>
        <v>20293</v>
      </c>
      <c r="AG32" s="24" t="s">
        <v>84</v>
      </c>
      <c r="AH32" s="92"/>
      <c r="AI32" s="225"/>
      <c r="AJ32" s="84"/>
      <c r="AK32" s="24" t="s">
        <v>145</v>
      </c>
      <c r="AL32" s="52"/>
      <c r="AM32" s="52"/>
      <c r="AN32" s="52"/>
      <c r="AO32" s="52">
        <v>22.5</v>
      </c>
      <c r="AP32" s="4"/>
      <c r="AQ32" s="4"/>
      <c r="AR32" s="4"/>
    </row>
    <row r="33" spans="1:49" hidden="1" x14ac:dyDescent="0.2">
      <c r="A33" s="67"/>
      <c r="B33" s="60">
        <v>40000</v>
      </c>
      <c r="C33" s="196" t="s">
        <v>140</v>
      </c>
      <c r="D33" s="199"/>
      <c r="E33" s="5"/>
      <c r="F33" s="5"/>
      <c r="G33" s="8"/>
      <c r="H33" s="8"/>
      <c r="I33" s="15"/>
      <c r="J33" s="77"/>
      <c r="K33" s="77"/>
      <c r="L33" s="77"/>
      <c r="M33" s="77"/>
      <c r="N33" s="77"/>
      <c r="O33" s="77"/>
      <c r="P33" s="77"/>
      <c r="Q33" s="77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20"/>
      <c r="AG33" s="15"/>
      <c r="AH33" s="92"/>
      <c r="AI33" s="225"/>
      <c r="AJ33" s="84"/>
      <c r="AK33" s="180" t="s">
        <v>148</v>
      </c>
      <c r="AL33" s="52"/>
      <c r="AM33" s="52">
        <v>11.64</v>
      </c>
      <c r="AN33" s="52"/>
      <c r="AO33" s="4"/>
      <c r="AP33" s="4"/>
      <c r="AQ33" s="4"/>
      <c r="AR33" s="4"/>
    </row>
    <row r="34" spans="1:49" hidden="1" x14ac:dyDescent="0.2">
      <c r="A34" s="70"/>
      <c r="B34" s="195">
        <v>40000</v>
      </c>
      <c r="C34" s="200" t="s">
        <v>143</v>
      </c>
      <c r="D34" s="199"/>
      <c r="E34" s="5"/>
      <c r="F34" s="5"/>
      <c r="G34" s="8"/>
      <c r="H34" s="8"/>
      <c r="J34" s="77"/>
      <c r="K34" s="77"/>
      <c r="L34" s="77"/>
      <c r="M34" s="77"/>
      <c r="N34" s="77"/>
      <c r="O34" s="77"/>
      <c r="P34" s="77"/>
      <c r="Q34" s="77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20"/>
      <c r="AI34" s="225"/>
      <c r="AJ34" s="84"/>
      <c r="AK34" s="181" t="s">
        <v>149</v>
      </c>
      <c r="AL34" s="132"/>
      <c r="AM34" s="52">
        <v>19.8</v>
      </c>
      <c r="AN34" s="52"/>
      <c r="AO34" s="4"/>
      <c r="AP34" s="4"/>
      <c r="AQ34" s="4"/>
      <c r="AR34" s="4"/>
      <c r="AS34" s="4">
        <f>AM28</f>
        <v>11.64</v>
      </c>
      <c r="AT34" t="s">
        <v>45</v>
      </c>
      <c r="AU34" s="4">
        <f>AF46</f>
        <v>20689</v>
      </c>
      <c r="AW34" s="41">
        <f>AS34+AU34</f>
        <v>20700.64</v>
      </c>
    </row>
    <row r="35" spans="1:49" hidden="1" x14ac:dyDescent="0.2">
      <c r="A35" s="70"/>
      <c r="B35" s="195">
        <v>-40000</v>
      </c>
      <c r="C35" s="196" t="s">
        <v>146</v>
      </c>
      <c r="D35" s="197"/>
      <c r="E35" s="5"/>
      <c r="F35" s="5"/>
      <c r="G35" s="8"/>
      <c r="H35" s="8"/>
      <c r="J35" s="77"/>
      <c r="K35" s="77"/>
      <c r="L35" s="77"/>
      <c r="M35" s="77"/>
      <c r="N35" s="77"/>
      <c r="O35" s="77"/>
      <c r="P35" s="77"/>
      <c r="Q35" s="77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20"/>
      <c r="AH35" s="92"/>
      <c r="AI35" s="225"/>
      <c r="AJ35" s="84"/>
      <c r="AK35" s="24" t="s">
        <v>152</v>
      </c>
      <c r="AL35" s="52">
        <v>62</v>
      </c>
      <c r="AM35" s="52"/>
      <c r="AN35" s="52"/>
      <c r="AO35" s="4"/>
      <c r="AP35" s="4"/>
      <c r="AQ35" s="4"/>
      <c r="AR35" s="4"/>
    </row>
    <row r="36" spans="1:49" hidden="1" x14ac:dyDescent="0.2">
      <c r="A36" s="126"/>
      <c r="B36" s="60">
        <v>80000</v>
      </c>
      <c r="C36" s="5" t="s">
        <v>147</v>
      </c>
      <c r="D36" s="197"/>
      <c r="E36" s="5"/>
      <c r="F36" s="5"/>
      <c r="G36" s="8"/>
      <c r="H36" s="8"/>
      <c r="J36" s="77"/>
      <c r="K36" s="77"/>
      <c r="L36" s="77"/>
      <c r="M36" s="77"/>
      <c r="N36" s="77"/>
      <c r="O36" s="77"/>
      <c r="P36" s="77"/>
      <c r="Q36" s="77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20"/>
      <c r="AH36" s="92"/>
      <c r="AI36" s="226"/>
      <c r="AJ36" s="84"/>
      <c r="AK36" s="173" t="s">
        <v>153</v>
      </c>
      <c r="AL36" s="52"/>
      <c r="AM36" s="52"/>
      <c r="AN36" s="52"/>
      <c r="AO36" s="4"/>
      <c r="AP36" s="4"/>
      <c r="AQ36" s="4"/>
      <c r="AR36" s="4">
        <v>186</v>
      </c>
    </row>
    <row r="37" spans="1:49" hidden="1" x14ac:dyDescent="0.2">
      <c r="A37" s="70"/>
      <c r="B37" s="177"/>
      <c r="C37" s="5"/>
      <c r="D37" s="201"/>
      <c r="E37" s="5"/>
      <c r="F37" s="5"/>
      <c r="G37" s="8"/>
      <c r="H37" s="8"/>
      <c r="I37" s="24" t="s">
        <v>85</v>
      </c>
      <c r="J37" s="77">
        <v>400</v>
      </c>
      <c r="K37" s="77">
        <v>200</v>
      </c>
      <c r="L37" s="77">
        <v>200</v>
      </c>
      <c r="M37" s="77">
        <v>130</v>
      </c>
      <c r="N37" s="77">
        <v>0</v>
      </c>
      <c r="O37" s="77">
        <v>760</v>
      </c>
      <c r="P37" s="77">
        <v>850</v>
      </c>
      <c r="Q37" s="77">
        <v>2247</v>
      </c>
      <c r="R37" s="122">
        <v>1725</v>
      </c>
      <c r="S37" s="130">
        <v>2010</v>
      </c>
      <c r="T37" s="122">
        <v>1754</v>
      </c>
      <c r="U37" s="87">
        <v>25000</v>
      </c>
      <c r="V37" s="87"/>
      <c r="W37" s="87"/>
      <c r="X37" s="87">
        <v>120</v>
      </c>
      <c r="Y37" s="122">
        <f>2050+870+25</f>
        <v>2945</v>
      </c>
      <c r="Z37" s="122">
        <v>0</v>
      </c>
      <c r="AA37" s="122">
        <v>2425</v>
      </c>
      <c r="AB37" s="122">
        <v>683</v>
      </c>
      <c r="AC37" s="122">
        <v>1500</v>
      </c>
      <c r="AD37" s="122"/>
      <c r="AE37" s="122"/>
      <c r="AF37" s="52">
        <f>SUM(J37:AD37)</f>
        <v>42949</v>
      </c>
      <c r="AG37" s="24" t="s">
        <v>85</v>
      </c>
      <c r="AI37" s="226"/>
      <c r="AJ37" s="84"/>
      <c r="AK37" s="94" t="s">
        <v>154</v>
      </c>
      <c r="AL37" s="52"/>
      <c r="AM37" s="52">
        <v>11.64</v>
      </c>
      <c r="AN37" s="52"/>
      <c r="AO37" s="4"/>
      <c r="AP37" s="4"/>
      <c r="AQ37" s="4"/>
      <c r="AR37" s="4"/>
    </row>
    <row r="38" spans="1:49" hidden="1" x14ac:dyDescent="0.2">
      <c r="A38" s="67"/>
      <c r="B38" s="177"/>
      <c r="C38" s="5"/>
      <c r="D38" s="199"/>
      <c r="E38" s="5"/>
      <c r="F38" s="5"/>
      <c r="G38" s="8"/>
      <c r="H38" s="8"/>
      <c r="J38" s="77"/>
      <c r="K38" s="77"/>
      <c r="L38" s="77"/>
      <c r="M38" s="77"/>
      <c r="N38" s="77"/>
      <c r="O38" s="77"/>
      <c r="P38" s="77"/>
      <c r="Q38" s="77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52"/>
      <c r="AH38" s="77"/>
      <c r="AI38" s="52"/>
      <c r="AJ38" s="84"/>
      <c r="AK38" s="24"/>
      <c r="AL38" s="52"/>
      <c r="AM38" s="52"/>
      <c r="AN38" s="52"/>
      <c r="AO38" s="4"/>
      <c r="AP38" s="4"/>
      <c r="AQ38" s="4"/>
      <c r="AR38" s="4"/>
    </row>
    <row r="39" spans="1:49" hidden="1" x14ac:dyDescent="0.2">
      <c r="A39" s="68"/>
      <c r="B39" s="177"/>
      <c r="C39" s="5"/>
      <c r="D39" s="201"/>
      <c r="E39" s="5"/>
      <c r="F39" s="5"/>
      <c r="G39" s="8"/>
      <c r="H39" s="8"/>
      <c r="J39" s="77"/>
      <c r="K39" s="77"/>
      <c r="L39" s="77"/>
      <c r="M39" s="77"/>
      <c r="N39" s="77"/>
      <c r="O39" s="77"/>
      <c r="P39" s="77"/>
      <c r="Q39" s="77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20"/>
      <c r="AH39" s="77"/>
      <c r="AI39" s="52"/>
      <c r="AJ39" s="77"/>
      <c r="AK39" s="182"/>
      <c r="AL39" s="52"/>
      <c r="AM39" s="52"/>
      <c r="AN39" s="52"/>
      <c r="AO39" s="4"/>
      <c r="AP39" s="4"/>
      <c r="AQ39" s="4"/>
      <c r="AR39" s="4"/>
    </row>
    <row r="40" spans="1:49" hidden="1" x14ac:dyDescent="0.2">
      <c r="B40" s="177"/>
      <c r="C40" s="5"/>
      <c r="D40" s="201"/>
      <c r="E40" s="5"/>
      <c r="F40" s="5"/>
      <c r="G40" s="8"/>
      <c r="H40" s="8"/>
      <c r="I40" s="172" t="s">
        <v>86</v>
      </c>
      <c r="J40" s="77">
        <v>400</v>
      </c>
      <c r="K40" s="77">
        <v>200</v>
      </c>
      <c r="L40" s="77">
        <v>200</v>
      </c>
      <c r="M40" s="77">
        <v>130</v>
      </c>
      <c r="N40" s="77">
        <v>725</v>
      </c>
      <c r="O40" s="77">
        <v>200</v>
      </c>
      <c r="P40" s="77">
        <v>850</v>
      </c>
      <c r="Q40" s="77">
        <v>2247</v>
      </c>
      <c r="R40" s="122">
        <v>2032</v>
      </c>
      <c r="S40" s="130">
        <v>2010</v>
      </c>
      <c r="T40" s="122">
        <v>1491</v>
      </c>
      <c r="U40" s="122"/>
      <c r="V40" s="122"/>
      <c r="W40" s="122"/>
      <c r="X40" s="122">
        <v>120</v>
      </c>
      <c r="Y40" s="122">
        <v>425</v>
      </c>
      <c r="Z40" s="122">
        <v>0</v>
      </c>
      <c r="AA40" s="122">
        <v>2425</v>
      </c>
      <c r="AB40" s="122">
        <v>683</v>
      </c>
      <c r="AC40" s="122">
        <v>0</v>
      </c>
      <c r="AD40" s="122">
        <v>300</v>
      </c>
      <c r="AE40" s="122"/>
      <c r="AF40" s="52">
        <f>SUM(J40:AD40)</f>
        <v>14438</v>
      </c>
      <c r="AG40" s="172" t="s">
        <v>50</v>
      </c>
      <c r="AH40" s="52"/>
      <c r="AI40" s="52"/>
      <c r="AJ40" s="52"/>
      <c r="AK40" s="24"/>
      <c r="AL40" s="52"/>
      <c r="AM40" s="52"/>
      <c r="AN40" s="52"/>
      <c r="AO40" s="4"/>
      <c r="AP40" s="4"/>
      <c r="AQ40" s="4"/>
      <c r="AR40" s="4"/>
    </row>
    <row r="41" spans="1:49" hidden="1" x14ac:dyDescent="0.2">
      <c r="B41" s="60"/>
      <c r="C41" s="5"/>
      <c r="D41" s="11"/>
      <c r="E41" s="5"/>
      <c r="F41" s="5"/>
      <c r="G41" s="8"/>
      <c r="H41" s="8"/>
      <c r="J41" s="77"/>
      <c r="K41" s="77"/>
      <c r="L41" s="77"/>
      <c r="M41" s="77"/>
      <c r="N41" s="77"/>
      <c r="O41" s="77"/>
      <c r="P41" s="77"/>
      <c r="Q41" s="77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20"/>
      <c r="AH41" s="77"/>
      <c r="AI41" s="77"/>
      <c r="AJ41" s="77"/>
      <c r="AK41" s="24"/>
      <c r="AL41" s="52"/>
      <c r="AM41" s="52"/>
      <c r="AN41" s="52"/>
      <c r="AO41" s="4"/>
      <c r="AP41" s="4"/>
      <c r="AQ41" s="4"/>
      <c r="AR41" s="4"/>
      <c r="AS41" s="4">
        <f>AL29+AM30</f>
        <v>56.64</v>
      </c>
      <c r="AT41" t="s">
        <v>46</v>
      </c>
      <c r="AU41" s="4">
        <f>AF51</f>
        <v>25675</v>
      </c>
      <c r="AW41" s="41">
        <f>AS41+AU41</f>
        <v>25731.64</v>
      </c>
    </row>
    <row r="42" spans="1:49" hidden="1" x14ac:dyDescent="0.2">
      <c r="A42" s="202"/>
      <c r="B42" s="41"/>
      <c r="C42" s="5"/>
      <c r="D42" s="199"/>
      <c r="E42" s="5"/>
      <c r="F42" s="5"/>
      <c r="G42" s="8"/>
      <c r="H42" s="8"/>
      <c r="J42" s="77"/>
      <c r="K42" s="77"/>
      <c r="L42" s="77"/>
      <c r="M42" s="77"/>
      <c r="N42" s="77"/>
      <c r="O42" s="77"/>
      <c r="P42" s="77"/>
      <c r="Q42" s="77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20"/>
      <c r="AH42" s="77"/>
      <c r="AI42" s="77"/>
      <c r="AJ42" s="77"/>
      <c r="AK42" s="24"/>
      <c r="AL42" s="52"/>
      <c r="AM42" s="52"/>
      <c r="AN42" s="52"/>
      <c r="AO42" s="4"/>
      <c r="AP42" s="4"/>
      <c r="AQ42" s="4"/>
      <c r="AR42" s="4"/>
    </row>
    <row r="43" spans="1:49" hidden="1" x14ac:dyDescent="0.2">
      <c r="A43" s="41"/>
      <c r="B43" s="41"/>
      <c r="C43" s="5"/>
      <c r="D43" s="203"/>
      <c r="E43" s="5"/>
      <c r="F43" s="5"/>
      <c r="G43" s="8"/>
      <c r="H43" s="8"/>
      <c r="I43" s="24" t="s">
        <v>87</v>
      </c>
      <c r="J43" s="77">
        <v>400</v>
      </c>
      <c r="K43" s="77">
        <v>200</v>
      </c>
      <c r="L43" s="77">
        <v>200</v>
      </c>
      <c r="M43" s="77">
        <v>130</v>
      </c>
      <c r="N43" s="77">
        <f>150+275+300</f>
        <v>725</v>
      </c>
      <c r="O43" s="77">
        <f>300</f>
        <v>300</v>
      </c>
      <c r="P43" s="77"/>
      <c r="Q43" s="77">
        <v>2247</v>
      </c>
      <c r="R43" s="122">
        <f>216+160+1540</f>
        <v>1916</v>
      </c>
      <c r="S43" s="122">
        <v>2010</v>
      </c>
      <c r="T43" s="122">
        <v>1404</v>
      </c>
      <c r="U43" s="122"/>
      <c r="V43" s="122">
        <v>4000</v>
      </c>
      <c r="W43" s="122"/>
      <c r="X43" s="122">
        <v>120</v>
      </c>
      <c r="Y43" s="122">
        <v>725</v>
      </c>
      <c r="Z43" s="122">
        <v>0</v>
      </c>
      <c r="AA43" s="122">
        <v>2500</v>
      </c>
      <c r="AB43" s="122">
        <v>683</v>
      </c>
      <c r="AC43" s="122"/>
      <c r="AD43" s="122">
        <v>200</v>
      </c>
      <c r="AE43" s="122"/>
      <c r="AF43" s="52">
        <f>SUM(J43:AD43)</f>
        <v>17760</v>
      </c>
      <c r="AG43" s="24" t="s">
        <v>51</v>
      </c>
      <c r="AH43" s="52"/>
      <c r="AI43" s="52"/>
      <c r="AJ43" s="52"/>
      <c r="AK43" s="24"/>
      <c r="AL43" s="4"/>
      <c r="AM43" s="52"/>
      <c r="AN43" s="52"/>
      <c r="AO43" s="52"/>
      <c r="AP43" s="52"/>
      <c r="AQ43" s="52"/>
      <c r="AR43" s="52"/>
      <c r="AW43" s="41"/>
    </row>
    <row r="44" spans="1:49" hidden="1" x14ac:dyDescent="0.2">
      <c r="A44" s="204"/>
      <c r="B44" s="205"/>
      <c r="C44" s="206"/>
      <c r="D44" s="207"/>
      <c r="E44" s="5"/>
      <c r="F44" s="5"/>
      <c r="G44" s="8"/>
      <c r="H44" s="8"/>
      <c r="I44" s="15"/>
      <c r="J44" s="77"/>
      <c r="K44" s="77"/>
      <c r="L44" s="77"/>
      <c r="M44" s="77"/>
      <c r="N44" s="77"/>
      <c r="O44" s="77"/>
      <c r="P44" s="77"/>
      <c r="Q44" s="77"/>
      <c r="R44" s="122"/>
      <c r="S44" s="122"/>
      <c r="T44" s="122"/>
      <c r="U44" s="122"/>
      <c r="V44" s="122"/>
      <c r="W44" s="122"/>
      <c r="X44" s="122"/>
      <c r="Y44" s="122"/>
      <c r="Z44" s="122"/>
      <c r="AA44" s="122" t="s">
        <v>128</v>
      </c>
      <c r="AB44" s="122"/>
      <c r="AC44" s="122"/>
      <c r="AD44" s="122"/>
      <c r="AE44" s="122"/>
      <c r="AF44" s="52"/>
      <c r="AG44" s="15"/>
      <c r="AH44" s="52"/>
      <c r="AI44" s="52"/>
      <c r="AJ44" s="52"/>
      <c r="AK44" s="171"/>
      <c r="AL44" s="132"/>
      <c r="AM44" s="4"/>
      <c r="AN44" s="52"/>
      <c r="AO44" s="52"/>
      <c r="AP44" s="52"/>
      <c r="AQ44" s="52"/>
      <c r="AR44" s="52"/>
      <c r="AS44" s="4">
        <f>AL31+AM33+AO32+AM34</f>
        <v>98.94</v>
      </c>
      <c r="AT44" t="s">
        <v>47</v>
      </c>
      <c r="AU44" s="4">
        <f>AF54</f>
        <v>23222</v>
      </c>
      <c r="AW44" s="41">
        <f>AS44+AU44</f>
        <v>23320.94</v>
      </c>
    </row>
    <row r="45" spans="1:49" hidden="1" x14ac:dyDescent="0.2">
      <c r="A45" s="3"/>
      <c r="B45" s="41"/>
      <c r="C45" s="208"/>
      <c r="D45" s="203"/>
      <c r="E45" s="5"/>
      <c r="F45" s="5"/>
      <c r="G45" s="8"/>
      <c r="H45" s="8"/>
      <c r="J45" s="77"/>
      <c r="K45" s="77"/>
      <c r="L45" s="77"/>
      <c r="M45" s="77"/>
      <c r="N45" s="77"/>
      <c r="O45" s="77"/>
      <c r="P45" s="77"/>
      <c r="Q45" s="77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52"/>
      <c r="AH45" s="52"/>
      <c r="AI45" s="52"/>
      <c r="AJ45" s="52"/>
      <c r="AK45" s="24"/>
      <c r="AL45" s="52"/>
      <c r="AM45" s="52"/>
      <c r="AN45" s="52"/>
      <c r="AO45" s="52"/>
      <c r="AP45" s="52"/>
      <c r="AQ45" s="52"/>
      <c r="AR45" s="52"/>
      <c r="AS45" s="4"/>
    </row>
    <row r="46" spans="1:49" hidden="1" x14ac:dyDescent="0.2">
      <c r="A46" s="3"/>
      <c r="B46" s="41"/>
      <c r="C46" s="5"/>
      <c r="D46" s="11"/>
      <c r="E46" s="5"/>
      <c r="F46" s="5"/>
      <c r="G46" s="8"/>
      <c r="H46" s="8"/>
      <c r="I46" s="24" t="s">
        <v>88</v>
      </c>
      <c r="J46" s="77">
        <v>400</v>
      </c>
      <c r="K46" s="77">
        <v>200</v>
      </c>
      <c r="L46" s="77">
        <v>200</v>
      </c>
      <c r="M46" s="77">
        <v>130</v>
      </c>
      <c r="N46" s="77">
        <v>0</v>
      </c>
      <c r="O46" s="77">
        <v>720</v>
      </c>
      <c r="P46" s="77">
        <v>850</v>
      </c>
      <c r="Q46" s="77">
        <v>2247</v>
      </c>
      <c r="R46" s="122">
        <v>1893</v>
      </c>
      <c r="S46" s="122">
        <v>2010</v>
      </c>
      <c r="T46" s="122">
        <v>1701</v>
      </c>
      <c r="U46" s="122"/>
      <c r="V46" s="122"/>
      <c r="W46" s="122"/>
      <c r="X46" s="122">
        <v>120</v>
      </c>
      <c r="Y46" s="122">
        <f>2050+1910+2250+25</f>
        <v>6235</v>
      </c>
      <c r="Z46" s="122">
        <v>0</v>
      </c>
      <c r="AA46" s="122">
        <v>2500</v>
      </c>
      <c r="AB46" s="122">
        <v>683</v>
      </c>
      <c r="AC46" s="122"/>
      <c r="AD46" s="122">
        <v>800</v>
      </c>
      <c r="AE46" s="122"/>
      <c r="AF46" s="52">
        <f>SUM(J46:AD46)</f>
        <v>20689</v>
      </c>
      <c r="AG46" t="s">
        <v>88</v>
      </c>
      <c r="AH46" s="52"/>
      <c r="AI46" s="52"/>
      <c r="AJ46" s="52"/>
      <c r="AK46" s="24"/>
      <c r="AL46" s="52"/>
      <c r="AM46" s="52"/>
      <c r="AN46" s="52"/>
      <c r="AO46" s="52"/>
      <c r="AP46" s="52"/>
      <c r="AQ46" s="52"/>
      <c r="AR46" s="52"/>
      <c r="AS46" s="4">
        <f>+AL35+AR36+AM37</f>
        <v>259.64</v>
      </c>
      <c r="AT46" s="24" t="s">
        <v>55</v>
      </c>
      <c r="AU46" s="4">
        <f>AF60</f>
        <v>35355.67</v>
      </c>
      <c r="AW46" s="41">
        <f>AS46+AU46</f>
        <v>35615.31</v>
      </c>
    </row>
    <row r="47" spans="1:49" hidden="1" x14ac:dyDescent="0.2">
      <c r="A47" s="3"/>
      <c r="B47" s="41"/>
      <c r="C47" s="5"/>
      <c r="D47" s="203"/>
      <c r="E47" s="5"/>
      <c r="F47" s="5"/>
      <c r="G47" s="8"/>
      <c r="H47" s="8"/>
      <c r="I47" s="112"/>
      <c r="J47" s="77"/>
      <c r="K47" s="77"/>
      <c r="L47" s="77"/>
      <c r="M47" s="77"/>
      <c r="N47" s="77"/>
      <c r="O47" s="77"/>
      <c r="P47" s="77"/>
      <c r="Q47" s="77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52"/>
      <c r="AG47" s="112"/>
      <c r="AH47" s="52"/>
      <c r="AI47" s="52"/>
      <c r="AJ47" s="52"/>
      <c r="AK47" s="179"/>
      <c r="AL47" s="132"/>
      <c r="AM47" s="52"/>
      <c r="AN47" s="52"/>
      <c r="AO47" s="52"/>
      <c r="AP47" s="52"/>
      <c r="AQ47" s="52"/>
      <c r="AR47" s="52"/>
    </row>
    <row r="48" spans="1:49" hidden="1" x14ac:dyDescent="0.2">
      <c r="A48" s="3"/>
      <c r="B48" s="41"/>
      <c r="C48" s="5"/>
      <c r="D48" s="11"/>
      <c r="E48" s="5"/>
      <c r="F48" s="5"/>
      <c r="G48" s="8"/>
      <c r="H48" s="8"/>
      <c r="J48" s="77"/>
      <c r="K48" s="77"/>
      <c r="L48" s="77"/>
      <c r="M48" s="77"/>
      <c r="N48" s="77"/>
      <c r="O48" s="77"/>
      <c r="P48" s="77"/>
      <c r="Q48" s="77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52"/>
      <c r="AH48" s="52"/>
      <c r="AI48" s="52"/>
      <c r="AJ48" s="52"/>
      <c r="AK48" s="24"/>
      <c r="AL48" s="52"/>
      <c r="AM48" s="52"/>
      <c r="AN48" s="52"/>
      <c r="AO48" s="52"/>
      <c r="AP48" s="52"/>
      <c r="AQ48" s="52"/>
      <c r="AR48" s="52"/>
      <c r="AS48" s="4"/>
      <c r="AU48" s="4"/>
      <c r="AW48" s="4"/>
    </row>
    <row r="49" spans="1:47" hidden="1" x14ac:dyDescent="0.2">
      <c r="A49" s="3"/>
      <c r="B49" s="41"/>
      <c r="C49" s="5"/>
      <c r="D49" s="203"/>
      <c r="E49" s="5"/>
      <c r="F49" s="5"/>
      <c r="G49" s="8"/>
      <c r="H49" s="8"/>
      <c r="J49" s="77"/>
      <c r="K49" s="77"/>
      <c r="L49" s="77"/>
      <c r="M49" s="77"/>
      <c r="N49" s="77"/>
      <c r="O49" s="77"/>
      <c r="P49" s="77"/>
      <c r="Q49" s="77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52"/>
      <c r="AH49" s="52"/>
      <c r="AI49" s="52"/>
      <c r="AJ49" s="52"/>
      <c r="AK49" s="24"/>
      <c r="AL49" s="52"/>
      <c r="AM49" s="52"/>
      <c r="AN49" s="52"/>
      <c r="AO49" s="52"/>
      <c r="AP49" s="52"/>
      <c r="AQ49" s="52"/>
      <c r="AR49" s="52"/>
    </row>
    <row r="50" spans="1:47" hidden="1" x14ac:dyDescent="0.2">
      <c r="A50" s="3"/>
      <c r="B50" s="41"/>
      <c r="C50" s="5"/>
      <c r="D50" s="203"/>
      <c r="E50" s="5"/>
      <c r="F50" s="5"/>
      <c r="G50" s="8"/>
      <c r="H50" s="8"/>
      <c r="I50" s="15"/>
      <c r="J50" s="77"/>
      <c r="K50" s="77"/>
      <c r="L50" s="77"/>
      <c r="M50" s="77"/>
      <c r="N50" s="77"/>
      <c r="O50" s="77"/>
      <c r="P50" s="77"/>
      <c r="Q50" s="77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52"/>
      <c r="AG50" s="15"/>
      <c r="AH50" s="52"/>
      <c r="AI50" s="52"/>
      <c r="AJ50" s="52"/>
      <c r="AK50" s="24"/>
      <c r="AL50" s="52"/>
      <c r="AM50" s="52"/>
      <c r="AN50" s="52"/>
      <c r="AO50" s="52"/>
      <c r="AP50" s="52"/>
      <c r="AQ50" s="52"/>
      <c r="AR50" s="52"/>
    </row>
    <row r="51" spans="1:47" hidden="1" x14ac:dyDescent="0.2">
      <c r="A51" s="3"/>
      <c r="B51" s="41"/>
      <c r="C51" s="5"/>
      <c r="D51" s="203"/>
      <c r="E51" s="5"/>
      <c r="F51" s="5"/>
      <c r="G51" s="8"/>
      <c r="H51" s="8"/>
      <c r="I51" s="24" t="s">
        <v>89</v>
      </c>
      <c r="J51" s="77">
        <v>400</v>
      </c>
      <c r="K51" s="77">
        <v>200</v>
      </c>
      <c r="L51" s="77">
        <v>200</v>
      </c>
      <c r="M51" s="77">
        <v>130</v>
      </c>
      <c r="N51" s="77"/>
      <c r="O51" s="77">
        <v>200</v>
      </c>
      <c r="P51" s="77"/>
      <c r="Q51" s="124">
        <v>2247</v>
      </c>
      <c r="R51" s="79">
        <f>1880+483</f>
        <v>2363</v>
      </c>
      <c r="S51" s="79">
        <v>2010</v>
      </c>
      <c r="T51" s="122">
        <f>1559+472+750</f>
        <v>2781</v>
      </c>
      <c r="U51" s="79">
        <v>60</v>
      </c>
      <c r="V51" s="79"/>
      <c r="W51" s="79"/>
      <c r="X51" s="79">
        <v>120</v>
      </c>
      <c r="Y51" s="79">
        <f>6000+1050+870+25</f>
        <v>7945</v>
      </c>
      <c r="Z51" s="79">
        <v>2786</v>
      </c>
      <c r="AA51" s="79">
        <v>2500</v>
      </c>
      <c r="AB51" s="79">
        <v>683</v>
      </c>
      <c r="AC51" s="79">
        <v>750</v>
      </c>
      <c r="AD51" s="79">
        <v>300</v>
      </c>
      <c r="AE51" s="79"/>
      <c r="AF51" s="52">
        <f>SUM(J51:AD51)</f>
        <v>25675</v>
      </c>
      <c r="AG51" s="24" t="s">
        <v>89</v>
      </c>
      <c r="AH51" s="52"/>
      <c r="AI51" s="52"/>
      <c r="AJ51" s="52"/>
      <c r="AK51" s="24"/>
      <c r="AL51" s="52"/>
      <c r="AM51" s="52"/>
      <c r="AN51" s="52"/>
      <c r="AO51" s="52"/>
      <c r="AP51" s="52"/>
      <c r="AQ51" s="52"/>
      <c r="AR51" s="52"/>
    </row>
    <row r="52" spans="1:47" ht="27.95" hidden="1" customHeight="1" x14ac:dyDescent="0.2">
      <c r="A52" s="3"/>
      <c r="B52" s="41"/>
      <c r="C52" s="5"/>
      <c r="D52" s="209"/>
      <c r="E52" s="5"/>
      <c r="F52" s="5"/>
      <c r="G52" s="8"/>
      <c r="H52" s="8"/>
      <c r="J52" s="124"/>
      <c r="K52" s="124"/>
      <c r="L52" s="124"/>
      <c r="M52" s="124"/>
      <c r="N52" s="124"/>
      <c r="O52" s="124"/>
      <c r="P52" s="124"/>
      <c r="Q52" s="124"/>
      <c r="R52" s="79"/>
      <c r="S52" s="57"/>
      <c r="T52" s="57"/>
      <c r="U52" s="183"/>
      <c r="V52" s="183"/>
      <c r="W52" s="79"/>
      <c r="X52" s="79"/>
      <c r="Y52" s="79"/>
      <c r="Z52" s="79"/>
      <c r="AA52" s="79"/>
      <c r="AB52" s="79"/>
      <c r="AC52" s="79"/>
      <c r="AD52" s="79"/>
      <c r="AE52" s="80"/>
      <c r="AF52" s="20"/>
      <c r="AH52" s="52"/>
      <c r="AI52" s="52"/>
      <c r="AJ52" s="52"/>
      <c r="AK52" s="24"/>
      <c r="AL52" s="52"/>
      <c r="AM52" s="52"/>
      <c r="AN52" s="52"/>
      <c r="AO52" s="52"/>
      <c r="AP52" s="52"/>
      <c r="AQ52" s="52"/>
      <c r="AR52" s="52"/>
    </row>
    <row r="53" spans="1:47" hidden="1" x14ac:dyDescent="0.2">
      <c r="A53" s="3"/>
      <c r="B53" s="41"/>
      <c r="C53" s="5"/>
      <c r="D53" s="209"/>
      <c r="E53" s="5"/>
      <c r="F53" s="5"/>
      <c r="G53" s="8"/>
      <c r="H53" s="8"/>
      <c r="J53" s="77"/>
      <c r="K53" s="77"/>
      <c r="L53" s="77"/>
      <c r="M53" s="77"/>
      <c r="N53" s="77"/>
      <c r="O53" s="77"/>
      <c r="P53" s="77"/>
      <c r="Q53" s="77"/>
      <c r="R53" s="79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79"/>
      <c r="AF53" s="20"/>
      <c r="AH53" s="52"/>
      <c r="AI53" s="52"/>
      <c r="AJ53" s="52"/>
      <c r="AK53" s="24"/>
      <c r="AL53" s="52"/>
      <c r="AM53" s="52"/>
      <c r="AN53" s="52"/>
      <c r="AO53" s="52"/>
      <c r="AP53" s="52"/>
      <c r="AQ53" s="52"/>
      <c r="AR53" s="52"/>
    </row>
    <row r="54" spans="1:47" hidden="1" x14ac:dyDescent="0.2">
      <c r="A54" s="3"/>
      <c r="B54" s="106"/>
      <c r="C54" s="200"/>
      <c r="D54" s="209"/>
      <c r="E54" s="5"/>
      <c r="F54" s="5"/>
      <c r="G54" s="8"/>
      <c r="H54" s="8"/>
      <c r="I54" s="24" t="s">
        <v>90</v>
      </c>
      <c r="J54" s="77">
        <v>400</v>
      </c>
      <c r="K54" s="77">
        <v>200</v>
      </c>
      <c r="L54" s="77">
        <v>200</v>
      </c>
      <c r="M54" s="77">
        <v>130</v>
      </c>
      <c r="N54" s="77">
        <v>0</v>
      </c>
      <c r="O54" s="77">
        <f>220+127</f>
        <v>347</v>
      </c>
      <c r="P54" s="77">
        <v>1750</v>
      </c>
      <c r="Q54" s="77">
        <v>2247</v>
      </c>
      <c r="R54" s="79">
        <v>2000</v>
      </c>
      <c r="S54" s="79">
        <v>2010</v>
      </c>
      <c r="T54" s="122">
        <v>1640</v>
      </c>
      <c r="U54" s="79"/>
      <c r="V54" s="79"/>
      <c r="W54" s="79"/>
      <c r="X54" s="79">
        <v>120</v>
      </c>
      <c r="Y54" s="79">
        <f>2300+1050+600+270+25</f>
        <v>4245</v>
      </c>
      <c r="Z54" s="79"/>
      <c r="AA54" s="79">
        <v>2500</v>
      </c>
      <c r="AB54" s="79">
        <v>683</v>
      </c>
      <c r="AC54" s="79">
        <v>3500</v>
      </c>
      <c r="AD54" s="79">
        <f>500+750</f>
        <v>1250</v>
      </c>
      <c r="AE54" s="79"/>
      <c r="AF54" s="52">
        <f>SUM(J54:AD54)</f>
        <v>23222</v>
      </c>
      <c r="AG54" s="24" t="s">
        <v>90</v>
      </c>
      <c r="AH54" s="238"/>
      <c r="AI54" s="238"/>
      <c r="AJ54" s="52"/>
      <c r="AK54" s="24"/>
      <c r="AM54" s="52"/>
      <c r="AN54" s="52"/>
      <c r="AO54" s="52"/>
      <c r="AP54" s="52"/>
      <c r="AQ54" s="52"/>
      <c r="AR54" s="52"/>
      <c r="AU54" s="4"/>
    </row>
    <row r="55" spans="1:47" ht="24" hidden="1" customHeight="1" x14ac:dyDescent="0.2">
      <c r="A55" s="41"/>
      <c r="B55" s="41"/>
      <c r="C55" s="5"/>
      <c r="D55" s="203"/>
      <c r="E55" s="5"/>
      <c r="F55" s="5"/>
      <c r="G55" s="8"/>
      <c r="H55" s="8"/>
      <c r="J55" s="77"/>
      <c r="K55" s="77"/>
      <c r="L55" s="77"/>
      <c r="M55" s="77"/>
      <c r="N55" s="77"/>
      <c r="O55" s="186"/>
      <c r="P55" s="77"/>
      <c r="Q55" s="77"/>
      <c r="R55" s="57"/>
      <c r="T55" s="57"/>
      <c r="U55" s="79"/>
      <c r="V55" s="79"/>
      <c r="W55" s="187"/>
      <c r="X55" s="79"/>
      <c r="Y55" s="79"/>
      <c r="Z55" s="79"/>
      <c r="AA55" s="79"/>
      <c r="AB55" s="79"/>
      <c r="AC55" s="79"/>
      <c r="AD55" s="57"/>
      <c r="AE55" s="79"/>
      <c r="AF55" s="20"/>
      <c r="AH55" s="24"/>
      <c r="AI55" s="52"/>
      <c r="AJ55" s="52"/>
      <c r="AK55" s="24"/>
      <c r="AL55" s="52"/>
      <c r="AM55" s="52"/>
      <c r="AN55" s="52"/>
      <c r="AO55" s="52"/>
      <c r="AP55" s="52"/>
      <c r="AQ55" s="52"/>
      <c r="AR55" s="52"/>
    </row>
    <row r="56" spans="1:47" hidden="1" x14ac:dyDescent="0.2">
      <c r="A56" s="3"/>
      <c r="B56" s="106"/>
      <c r="C56" s="200"/>
      <c r="D56" s="203"/>
      <c r="E56" s="5"/>
      <c r="F56" s="5"/>
      <c r="G56" s="8"/>
      <c r="H56" s="8"/>
      <c r="J56" s="77"/>
      <c r="K56" s="77"/>
      <c r="L56" s="77"/>
      <c r="M56" s="77"/>
      <c r="N56" s="77"/>
      <c r="O56" s="77"/>
      <c r="P56" s="77"/>
      <c r="Q56" s="77"/>
      <c r="R56" s="57"/>
      <c r="S56" s="103"/>
      <c r="T56" s="57"/>
      <c r="U56" s="79"/>
      <c r="V56" s="79"/>
      <c r="W56" s="79"/>
      <c r="X56" s="79"/>
      <c r="Y56" s="79"/>
      <c r="Z56" s="79"/>
      <c r="AA56" s="79"/>
      <c r="AB56" s="79"/>
      <c r="AC56" s="79"/>
      <c r="AD56" s="57"/>
      <c r="AE56" s="79"/>
      <c r="AF56" s="20"/>
      <c r="AH56" s="24"/>
      <c r="AI56" s="52"/>
      <c r="AJ56" s="52"/>
      <c r="AK56" s="24"/>
      <c r="AL56" s="52"/>
      <c r="AM56" s="52"/>
      <c r="AN56" s="52"/>
      <c r="AO56" s="52"/>
      <c r="AP56" s="52"/>
      <c r="AQ56" s="52"/>
      <c r="AR56" s="52"/>
    </row>
    <row r="57" spans="1:47" hidden="1" x14ac:dyDescent="0.2">
      <c r="A57" s="3"/>
      <c r="B57" s="41"/>
      <c r="C57" s="5"/>
      <c r="D57" s="203"/>
      <c r="E57" s="5"/>
      <c r="F57" s="5"/>
      <c r="G57" s="8"/>
      <c r="H57" s="8"/>
      <c r="J57" s="77"/>
      <c r="K57" s="77"/>
      <c r="L57" s="77"/>
      <c r="M57" s="77"/>
      <c r="N57" s="77"/>
      <c r="O57" s="77"/>
      <c r="P57" s="77"/>
      <c r="Q57" s="77"/>
      <c r="R57" s="57"/>
      <c r="S57" s="57"/>
      <c r="T57" s="57"/>
      <c r="U57" s="79"/>
      <c r="V57" s="79"/>
      <c r="W57" s="79"/>
      <c r="X57" s="79"/>
      <c r="Y57" s="79"/>
      <c r="Z57" s="79"/>
      <c r="AA57" s="79"/>
      <c r="AB57" s="79"/>
      <c r="AC57" s="79"/>
      <c r="AD57" s="57"/>
      <c r="AE57" s="79"/>
      <c r="AF57" s="20"/>
      <c r="AH57" s="24"/>
      <c r="AI57" s="52"/>
      <c r="AJ57" s="52"/>
      <c r="AK57" s="24"/>
      <c r="AL57" s="52"/>
      <c r="AM57" s="52"/>
      <c r="AN57" s="52"/>
      <c r="AO57" s="52"/>
      <c r="AP57" s="52"/>
      <c r="AQ57" s="52"/>
      <c r="AR57" s="52"/>
    </row>
    <row r="58" spans="1:47" hidden="1" x14ac:dyDescent="0.2">
      <c r="A58" s="41"/>
      <c r="B58" s="41"/>
      <c r="C58" s="210"/>
      <c r="D58" s="203"/>
      <c r="E58" s="5"/>
      <c r="F58" s="5"/>
      <c r="G58" s="8"/>
      <c r="H58" s="8"/>
      <c r="J58" s="77"/>
      <c r="K58" s="77"/>
      <c r="L58" s="77"/>
      <c r="M58" s="77"/>
      <c r="N58" s="77"/>
      <c r="O58" s="77"/>
      <c r="P58" s="77"/>
      <c r="Q58" s="77"/>
      <c r="R58" s="57"/>
      <c r="S58" s="57"/>
      <c r="T58" s="57"/>
      <c r="U58" s="79"/>
      <c r="V58" s="79"/>
      <c r="W58" s="79"/>
      <c r="X58" s="79"/>
      <c r="Y58" s="79"/>
      <c r="Z58" s="79"/>
      <c r="AA58" s="79"/>
      <c r="AB58" s="79"/>
      <c r="AC58" s="79"/>
      <c r="AD58" s="57"/>
      <c r="AE58" s="79"/>
      <c r="AF58" s="20"/>
      <c r="AH58" s="52"/>
      <c r="AI58" s="52"/>
      <c r="AJ58" s="52"/>
      <c r="AK58" s="24"/>
      <c r="AL58" s="52"/>
      <c r="AM58" s="52"/>
      <c r="AN58" s="52"/>
      <c r="AO58" s="52"/>
      <c r="AP58" s="52"/>
      <c r="AQ58" s="52"/>
      <c r="AR58" s="52"/>
    </row>
    <row r="59" spans="1:47" hidden="1" x14ac:dyDescent="0.2">
      <c r="A59" s="3"/>
      <c r="B59" s="41"/>
      <c r="C59" s="5"/>
      <c r="D59" s="209"/>
      <c r="E59" s="5"/>
      <c r="F59" s="5"/>
      <c r="G59" s="8"/>
      <c r="H59" s="8"/>
      <c r="J59" s="77"/>
      <c r="K59" s="77"/>
      <c r="L59" s="77"/>
      <c r="M59" s="77"/>
      <c r="N59" s="77"/>
      <c r="O59" s="77"/>
      <c r="P59" s="77"/>
      <c r="Q59" s="7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20"/>
      <c r="AH59" s="52"/>
      <c r="AI59" s="52"/>
      <c r="AJ59" s="52"/>
      <c r="AL59" s="52"/>
      <c r="AM59" s="52"/>
      <c r="AN59" s="52"/>
      <c r="AO59" s="52"/>
      <c r="AP59" s="52"/>
      <c r="AQ59" s="52"/>
      <c r="AR59" s="52"/>
    </row>
    <row r="60" spans="1:47" hidden="1" x14ac:dyDescent="0.2">
      <c r="A60" s="41"/>
      <c r="B60" s="41"/>
      <c r="C60" s="5"/>
      <c r="D60" s="209"/>
      <c r="E60" s="5"/>
      <c r="F60" s="5"/>
      <c r="G60" s="8"/>
      <c r="H60" s="8"/>
      <c r="I60" s="24" t="s">
        <v>91</v>
      </c>
      <c r="J60" s="77">
        <v>400</v>
      </c>
      <c r="K60" s="77">
        <v>200</v>
      </c>
      <c r="L60" s="77">
        <v>200</v>
      </c>
      <c r="M60" s="77">
        <v>130</v>
      </c>
      <c r="N60" s="77"/>
      <c r="O60" s="77">
        <v>338</v>
      </c>
      <c r="P60" s="77"/>
      <c r="Q60" s="77">
        <v>2247</v>
      </c>
      <c r="R60" s="79">
        <v>2938</v>
      </c>
      <c r="S60" s="79">
        <v>2010</v>
      </c>
      <c r="T60" s="122">
        <v>2238</v>
      </c>
      <c r="U60" s="79"/>
      <c r="V60" s="79"/>
      <c r="W60" s="79"/>
      <c r="X60" s="79">
        <v>120</v>
      </c>
      <c r="Y60" s="79">
        <f>4105+9790.67+5175</f>
        <v>19070.669999999998</v>
      </c>
      <c r="Z60" s="79"/>
      <c r="AA60" s="79">
        <v>2500</v>
      </c>
      <c r="AB60" s="79">
        <f>683</f>
        <v>683</v>
      </c>
      <c r="AC60" s="79">
        <f>609+91+300</f>
        <v>1000</v>
      </c>
      <c r="AD60" s="79">
        <f>750+531</f>
        <v>1281</v>
      </c>
      <c r="AE60" s="79"/>
      <c r="AF60" s="52">
        <f>SUM(J60:AD60)</f>
        <v>35355.67</v>
      </c>
      <c r="AG60" s="24" t="s">
        <v>91</v>
      </c>
      <c r="AH60" s="52"/>
      <c r="AI60" s="52"/>
      <c r="AJ60" s="52"/>
      <c r="AK60" s="15"/>
      <c r="AL60" s="52"/>
      <c r="AM60" s="52"/>
      <c r="AN60" s="52"/>
      <c r="AO60" s="52"/>
      <c r="AP60" s="52"/>
      <c r="AQ60" s="52"/>
      <c r="AR60" s="52"/>
    </row>
    <row r="61" spans="1:47" ht="81" hidden="1" customHeight="1" x14ac:dyDescent="0.2">
      <c r="A61" s="3"/>
      <c r="B61" s="41"/>
      <c r="C61" s="5"/>
      <c r="D61" s="209"/>
      <c r="E61" s="5"/>
      <c r="F61" s="5"/>
      <c r="G61" s="8"/>
      <c r="H61" s="8"/>
      <c r="I61" s="24"/>
      <c r="J61" s="77"/>
      <c r="K61" s="77"/>
      <c r="L61" s="77"/>
      <c r="M61" s="77"/>
      <c r="N61" s="77"/>
      <c r="O61" s="77"/>
      <c r="P61" s="77"/>
      <c r="Q61" s="77"/>
      <c r="R61" s="79"/>
      <c r="S61" s="79"/>
      <c r="T61" s="122"/>
      <c r="U61" s="79"/>
      <c r="V61" s="79"/>
      <c r="W61" s="79"/>
      <c r="X61" s="79"/>
      <c r="Y61" s="193" t="s">
        <v>155</v>
      </c>
      <c r="Z61" s="79"/>
      <c r="AA61" s="79"/>
      <c r="AB61" s="79"/>
      <c r="AC61" s="79"/>
      <c r="AD61" s="79"/>
      <c r="AE61" s="193"/>
      <c r="AF61" s="52"/>
      <c r="AG61" s="52"/>
      <c r="AH61" s="52"/>
      <c r="AI61" s="52"/>
      <c r="AJ61" s="52"/>
      <c r="AK61" s="15"/>
      <c r="AL61" s="52"/>
      <c r="AM61" s="52"/>
      <c r="AN61" s="52"/>
      <c r="AO61" s="52"/>
      <c r="AP61" s="52"/>
      <c r="AQ61" s="52"/>
      <c r="AR61" s="52"/>
      <c r="AT61" s="4">
        <f>SUM(AS8:AS60)</f>
        <v>3231.2699999999995</v>
      </c>
    </row>
    <row r="62" spans="1:47" hidden="1" x14ac:dyDescent="0.2">
      <c r="A62" s="3"/>
      <c r="B62" s="41"/>
      <c r="C62" s="5"/>
      <c r="D62" s="209"/>
      <c r="E62" s="5"/>
      <c r="F62" s="5"/>
      <c r="G62" s="8"/>
      <c r="H62" s="8"/>
      <c r="I62" s="24"/>
      <c r="J62" s="77"/>
      <c r="K62" s="77"/>
      <c r="L62" s="77"/>
      <c r="M62" s="77"/>
      <c r="N62" s="77"/>
      <c r="O62" s="77"/>
      <c r="P62" s="77"/>
      <c r="Q62" s="77"/>
      <c r="R62" s="79"/>
      <c r="S62" s="79"/>
      <c r="T62" s="122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52"/>
      <c r="AG62" s="52"/>
      <c r="AH62" s="52"/>
      <c r="AI62" s="52"/>
      <c r="AJ62" s="52"/>
      <c r="AK62" s="15"/>
      <c r="AL62" s="52"/>
      <c r="AM62" s="52"/>
      <c r="AN62" s="52"/>
      <c r="AO62" s="52"/>
      <c r="AP62" s="52"/>
      <c r="AQ62" s="52"/>
      <c r="AR62" s="52"/>
    </row>
    <row r="63" spans="1:47" hidden="1" x14ac:dyDescent="0.2">
      <c r="A63" s="3"/>
      <c r="D63" s="5"/>
      <c r="E63" s="5"/>
      <c r="F63" s="5"/>
      <c r="G63" s="8"/>
      <c r="H63" s="8"/>
      <c r="J63" s="77"/>
      <c r="K63" s="77"/>
      <c r="L63" s="77"/>
      <c r="M63" s="77"/>
      <c r="N63" s="77"/>
      <c r="O63" s="77"/>
      <c r="P63" s="77"/>
      <c r="Q63" s="77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3"/>
      <c r="AE63" s="122"/>
      <c r="AF63" s="20"/>
      <c r="AG63" s="20"/>
      <c r="AH63" s="57"/>
      <c r="AI63" s="57"/>
      <c r="AJ63" s="57"/>
      <c r="AK63" s="91"/>
      <c r="AL63" s="4"/>
      <c r="AM63" s="52"/>
      <c r="AN63" s="52"/>
      <c r="AO63" s="52"/>
      <c r="AP63" s="52"/>
      <c r="AQ63" s="52"/>
      <c r="AR63" s="52"/>
    </row>
    <row r="64" spans="1:47" hidden="1" x14ac:dyDescent="0.2">
      <c r="A64" s="3"/>
      <c r="B64" s="41">
        <f>SUM(B28:B63)</f>
        <v>286900</v>
      </c>
      <c r="C64" t="s">
        <v>26</v>
      </c>
      <c r="D64" s="5"/>
      <c r="E64" s="5"/>
      <c r="G64" s="8"/>
      <c r="H64" s="8"/>
      <c r="J64" s="77"/>
      <c r="K64" s="77"/>
      <c r="L64" s="77"/>
      <c r="M64" s="77"/>
      <c r="N64" s="77"/>
      <c r="O64" s="77"/>
      <c r="P64" s="77"/>
      <c r="Q64" s="7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65"/>
      <c r="AE64" s="57"/>
      <c r="AF64" s="20"/>
      <c r="AG64" s="20"/>
      <c r="AH64" s="57"/>
      <c r="AI64" s="57"/>
      <c r="AJ64" s="57"/>
      <c r="AK64" s="15"/>
      <c r="AL64" s="4"/>
      <c r="AM64" s="52"/>
      <c r="AN64" s="52"/>
      <c r="AO64" s="52"/>
      <c r="AP64" s="52"/>
      <c r="AQ64" s="52"/>
      <c r="AR64" s="52"/>
      <c r="AS64" s="4"/>
    </row>
    <row r="65" spans="1:46" hidden="1" x14ac:dyDescent="0.2">
      <c r="A65" s="3"/>
      <c r="B65" s="41"/>
      <c r="D65" s="5"/>
      <c r="E65" s="5"/>
      <c r="G65" s="8"/>
      <c r="H65" s="8"/>
      <c r="J65" s="77"/>
      <c r="K65" s="77"/>
      <c r="L65" s="77"/>
      <c r="M65" s="77"/>
      <c r="N65" s="77"/>
      <c r="O65" s="77"/>
      <c r="P65" s="77"/>
      <c r="Q65" s="77"/>
      <c r="R65" s="57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65"/>
      <c r="AE65" s="57"/>
      <c r="AF65" s="20"/>
      <c r="AG65" s="20"/>
      <c r="AH65" s="57"/>
      <c r="AI65" s="57"/>
      <c r="AJ65" s="57"/>
      <c r="AK65" s="15"/>
      <c r="AL65" s="52"/>
      <c r="AM65" s="52"/>
      <c r="AN65" s="52"/>
      <c r="AO65" s="52"/>
      <c r="AP65" s="52"/>
      <c r="AQ65" s="52"/>
      <c r="AR65" s="52"/>
      <c r="AS65" s="4"/>
    </row>
    <row r="66" spans="1:46" hidden="1" x14ac:dyDescent="0.2">
      <c r="A66" s="3" t="s">
        <v>8</v>
      </c>
      <c r="B66" s="41"/>
      <c r="D66" s="5"/>
      <c r="E66" s="5"/>
      <c r="G66" s="8"/>
      <c r="H66" s="8"/>
      <c r="I66" s="15"/>
      <c r="J66" s="77"/>
      <c r="K66" s="77"/>
      <c r="L66" s="77"/>
      <c r="M66" s="77"/>
      <c r="N66" s="77"/>
      <c r="O66" s="77"/>
      <c r="P66" s="77"/>
      <c r="Q66" s="77"/>
      <c r="R66" s="79"/>
      <c r="S66" s="122"/>
      <c r="T66" s="122"/>
      <c r="U66" s="79"/>
      <c r="V66" s="79"/>
      <c r="W66" s="79"/>
      <c r="X66" s="79"/>
      <c r="Y66" s="79"/>
      <c r="Z66" s="79"/>
      <c r="AA66" s="122"/>
      <c r="AB66" s="79"/>
      <c r="AC66" s="79"/>
      <c r="AD66" s="79"/>
      <c r="AE66" s="79"/>
      <c r="AF66" s="52"/>
      <c r="AG66" s="52"/>
      <c r="AH66" s="52"/>
      <c r="AI66" s="52"/>
      <c r="AJ66" s="52"/>
      <c r="AK66" s="128"/>
      <c r="AL66" s="52"/>
      <c r="AM66" s="52"/>
      <c r="AN66" s="52"/>
      <c r="AO66" s="52"/>
      <c r="AP66" s="52"/>
      <c r="AQ66" s="52"/>
      <c r="AR66" s="52"/>
      <c r="AS66" s="4"/>
    </row>
    <row r="67" spans="1:46" hidden="1" x14ac:dyDescent="0.2">
      <c r="A67" s="175" t="s">
        <v>151</v>
      </c>
      <c r="B67" s="41">
        <f>AH123</f>
        <v>275693.67</v>
      </c>
      <c r="D67" s="5"/>
      <c r="E67" s="5"/>
      <c r="G67" s="8"/>
      <c r="H67" s="8"/>
      <c r="J67" s="77"/>
      <c r="K67" s="77"/>
      <c r="L67" s="77"/>
      <c r="M67" s="77"/>
      <c r="N67" s="77"/>
      <c r="O67" s="77"/>
      <c r="P67" s="77"/>
      <c r="Q67" s="7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79"/>
      <c r="AF67" s="20"/>
      <c r="AG67" s="20"/>
      <c r="AH67" s="57"/>
      <c r="AI67" s="57"/>
      <c r="AJ67" s="57"/>
      <c r="AK67" s="15"/>
      <c r="AL67" s="52"/>
      <c r="AM67" s="52"/>
      <c r="AN67" s="52"/>
      <c r="AO67" s="52"/>
      <c r="AP67" s="52"/>
      <c r="AQ67" s="52"/>
      <c r="AR67" s="52"/>
      <c r="AS67" s="4"/>
    </row>
    <row r="68" spans="1:46" hidden="1" x14ac:dyDescent="0.2">
      <c r="A68" s="3"/>
      <c r="B68" s="41"/>
      <c r="D68" s="5"/>
      <c r="E68" s="5"/>
      <c r="J68" s="77"/>
      <c r="K68" s="77"/>
      <c r="L68" s="77"/>
      <c r="M68" s="77"/>
      <c r="N68" s="77"/>
      <c r="O68" s="77"/>
      <c r="P68" s="77"/>
      <c r="Q68" s="7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79"/>
      <c r="AF68" s="20"/>
      <c r="AG68" s="20"/>
      <c r="AH68" s="57"/>
      <c r="AI68" s="57"/>
      <c r="AJ68" s="57"/>
      <c r="AK68" s="128"/>
      <c r="AL68" s="52"/>
      <c r="AM68" s="52"/>
      <c r="AN68" s="52"/>
      <c r="AO68" s="52"/>
      <c r="AP68" s="52"/>
      <c r="AQ68" s="52"/>
      <c r="AR68" s="52"/>
      <c r="AS68" s="4"/>
      <c r="AT68" s="4"/>
    </row>
    <row r="69" spans="1:46" hidden="1" x14ac:dyDescent="0.2">
      <c r="A69" s="3" t="s">
        <v>9</v>
      </c>
      <c r="B69" s="41"/>
      <c r="D69" s="5"/>
      <c r="E69" s="5"/>
      <c r="J69" s="77"/>
      <c r="K69" s="77"/>
      <c r="L69" s="77"/>
      <c r="M69" s="77"/>
      <c r="N69" s="77"/>
      <c r="O69" s="77"/>
      <c r="P69" s="77"/>
      <c r="Q69" s="77"/>
      <c r="R69" s="57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57"/>
      <c r="AE69" s="79"/>
      <c r="AF69" s="20"/>
      <c r="AG69" s="20"/>
      <c r="AH69" s="52"/>
      <c r="AI69" s="52"/>
      <c r="AJ69" s="52"/>
      <c r="AK69" s="128"/>
      <c r="AL69" s="52"/>
      <c r="AM69" s="52"/>
      <c r="AN69" s="52"/>
      <c r="AO69" s="52"/>
      <c r="AP69" s="52"/>
      <c r="AQ69" s="52"/>
      <c r="AR69" s="52"/>
      <c r="AS69" s="4"/>
    </row>
    <row r="70" spans="1:46" hidden="1" x14ac:dyDescent="0.2">
      <c r="A70" s="3" t="s">
        <v>10</v>
      </c>
      <c r="B70" s="42">
        <f>B27+B64-B67</f>
        <v>41324</v>
      </c>
      <c r="D70" s="5"/>
      <c r="E70" s="5"/>
      <c r="H70" t="s">
        <v>35</v>
      </c>
      <c r="AH70" s="52"/>
      <c r="AI70" s="52"/>
      <c r="AJ70" s="52"/>
      <c r="AK70" s="73"/>
      <c r="AL70" s="52"/>
      <c r="AM70" s="52"/>
      <c r="AN70" s="52"/>
      <c r="AO70" s="52"/>
      <c r="AP70" s="52"/>
      <c r="AQ70" s="52"/>
      <c r="AR70" s="52"/>
      <c r="AS70" s="4"/>
    </row>
    <row r="71" spans="1:46" hidden="1" x14ac:dyDescent="0.2">
      <c r="A71" s="3"/>
      <c r="B71" s="41"/>
      <c r="D71" s="5"/>
      <c r="E71" s="5"/>
      <c r="AH71" s="52"/>
      <c r="AI71" s="52"/>
      <c r="AJ71" s="52"/>
      <c r="AK71" s="86"/>
      <c r="AL71" s="52"/>
      <c r="AM71" s="52"/>
      <c r="AN71" s="52"/>
      <c r="AO71" s="52"/>
      <c r="AP71" s="52"/>
      <c r="AQ71" s="52"/>
      <c r="AR71" s="52"/>
      <c r="AS71" s="4"/>
    </row>
    <row r="72" spans="1:46" hidden="1" x14ac:dyDescent="0.2">
      <c r="A72" s="21"/>
      <c r="B72" s="45"/>
      <c r="C72" s="21"/>
      <c r="D72" s="21"/>
      <c r="E72" s="21"/>
      <c r="J72" s="77"/>
      <c r="K72" s="77"/>
      <c r="L72" s="77"/>
      <c r="M72" s="77"/>
      <c r="N72" s="77"/>
      <c r="O72" s="77"/>
      <c r="P72" s="77"/>
      <c r="Q72" s="7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20"/>
      <c r="AG72" s="20"/>
      <c r="AH72" s="57"/>
      <c r="AI72" s="57"/>
      <c r="AJ72" s="57"/>
      <c r="AK72" s="128"/>
      <c r="AL72" s="52"/>
      <c r="AM72" s="52"/>
      <c r="AN72" s="122"/>
      <c r="AO72" s="122"/>
      <c r="AP72" s="122"/>
      <c r="AQ72" s="122"/>
      <c r="AR72" s="122"/>
    </row>
    <row r="73" spans="1:46" hidden="1" x14ac:dyDescent="0.2">
      <c r="A73" s="21"/>
      <c r="B73" s="46"/>
      <c r="C73" s="21"/>
      <c r="D73" s="21"/>
      <c r="E73" s="21"/>
      <c r="J73" s="77"/>
      <c r="K73" s="77"/>
      <c r="L73" s="77"/>
      <c r="M73" s="77"/>
      <c r="N73" s="77"/>
      <c r="O73" s="77"/>
      <c r="P73" s="77"/>
      <c r="Q73" s="7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20"/>
      <c r="AG73" s="20"/>
      <c r="AH73" s="57"/>
      <c r="AI73" s="57"/>
      <c r="AJ73" s="57"/>
      <c r="AK73" s="135"/>
      <c r="AL73" s="20"/>
      <c r="AM73" s="88"/>
      <c r="AN73" s="122"/>
      <c r="AO73" s="122"/>
      <c r="AP73" s="122"/>
      <c r="AQ73" s="122"/>
      <c r="AR73" s="122"/>
    </row>
    <row r="74" spans="1:46" ht="18" hidden="1" customHeight="1" x14ac:dyDescent="0.2">
      <c r="A74" s="22" t="s">
        <v>122</v>
      </c>
      <c r="B74" s="21"/>
      <c r="C74" s="21"/>
      <c r="D74" s="21"/>
      <c r="E74" s="21"/>
      <c r="F74" s="21"/>
      <c r="J74" s="77"/>
      <c r="K74" s="77"/>
      <c r="L74" s="77"/>
      <c r="M74" s="77"/>
      <c r="N74" s="77"/>
      <c r="O74" s="77"/>
      <c r="P74" s="77"/>
      <c r="Q74" s="7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20"/>
      <c r="AG74" s="20"/>
      <c r="AH74" s="52"/>
      <c r="AI74" s="52"/>
      <c r="AJ74" s="52"/>
      <c r="AK74" s="128"/>
      <c r="AM74" s="88"/>
      <c r="AN74" s="20"/>
      <c r="AO74" s="20"/>
      <c r="AP74" s="20"/>
      <c r="AQ74" s="20"/>
      <c r="AR74" s="20"/>
      <c r="AS74" s="4"/>
    </row>
    <row r="75" spans="1:46" ht="17.100000000000001" hidden="1" customHeight="1" x14ac:dyDescent="0.2">
      <c r="A75" s="59"/>
      <c r="B75" s="21"/>
      <c r="C75" s="21"/>
      <c r="D75" s="21"/>
      <c r="E75" s="21"/>
      <c r="F75" s="21"/>
      <c r="H75" s="90"/>
      <c r="J75" s="77"/>
      <c r="K75" s="77"/>
      <c r="L75" s="77"/>
      <c r="M75" s="77"/>
      <c r="N75" s="77"/>
      <c r="O75" s="77"/>
      <c r="P75" s="77"/>
      <c r="Q75" s="7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20"/>
      <c r="AG75" s="20"/>
      <c r="AH75" s="52"/>
      <c r="AI75" s="83"/>
      <c r="AJ75" s="83"/>
      <c r="AK75" s="15"/>
      <c r="AL75" s="122"/>
      <c r="AM75" s="52"/>
      <c r="AN75" s="20"/>
      <c r="AO75" s="20"/>
      <c r="AP75" s="20"/>
      <c r="AQ75" s="20"/>
      <c r="AR75" s="20"/>
      <c r="AS75" s="4"/>
    </row>
    <row r="76" spans="1:46" ht="17.100000000000001" customHeight="1" thickBot="1" x14ac:dyDescent="0.25">
      <c r="A76" s="22" t="s">
        <v>60</v>
      </c>
      <c r="B76" s="21"/>
      <c r="C76" s="22"/>
      <c r="D76" s="21"/>
      <c r="E76" s="21"/>
      <c r="F76" s="21"/>
      <c r="J76" s="77"/>
      <c r="K76" s="77"/>
      <c r="L76" s="77"/>
      <c r="M76" s="77"/>
      <c r="N76" s="77"/>
      <c r="O76" s="77"/>
      <c r="P76" s="77"/>
      <c r="Q76" s="7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20"/>
      <c r="AG76" s="20"/>
      <c r="AH76" s="57"/>
      <c r="AJ76" s="52"/>
      <c r="AK76" s="93"/>
      <c r="AL76" s="20"/>
      <c r="AM76" s="88"/>
      <c r="AN76" s="20"/>
      <c r="AO76" s="20"/>
      <c r="AP76" s="20"/>
      <c r="AQ76" s="20"/>
      <c r="AR76" s="20"/>
    </row>
    <row r="77" spans="1:46" ht="17.100000000000001" customHeight="1" thickTop="1" x14ac:dyDescent="0.2">
      <c r="A77" s="34" t="s">
        <v>17</v>
      </c>
      <c r="B77" s="23"/>
      <c r="C77" s="23"/>
      <c r="D77" s="23"/>
      <c r="E77" s="23"/>
      <c r="F77" s="23"/>
      <c r="G77" s="36"/>
      <c r="J77" s="77"/>
      <c r="K77" s="77"/>
      <c r="L77" s="77"/>
      <c r="M77" s="77"/>
      <c r="N77" s="77"/>
      <c r="O77" s="77"/>
      <c r="P77" s="77"/>
      <c r="Q77" s="7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20"/>
      <c r="AG77" s="20"/>
      <c r="AH77" s="57"/>
      <c r="AI77" s="57"/>
      <c r="AJ77" s="57"/>
      <c r="AK77" s="93"/>
      <c r="AL77" s="122"/>
      <c r="AM77" s="88"/>
      <c r="AN77" s="20"/>
      <c r="AO77" s="20"/>
      <c r="AP77" s="20"/>
      <c r="AQ77" s="20"/>
      <c r="AR77" s="20"/>
    </row>
    <row r="78" spans="1:46" ht="17.100000000000001" customHeight="1" x14ac:dyDescent="0.2">
      <c r="A78" s="35"/>
      <c r="B78" s="2"/>
      <c r="E78" s="57" t="s">
        <v>23</v>
      </c>
      <c r="F78" s="57" t="s">
        <v>0</v>
      </c>
      <c r="G78" s="36"/>
      <c r="J78" s="77"/>
      <c r="K78" s="77"/>
      <c r="L78" s="77"/>
      <c r="M78" s="77"/>
      <c r="N78" s="77"/>
      <c r="O78" s="77"/>
      <c r="P78" s="77"/>
      <c r="Q78" s="7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20"/>
      <c r="AG78" s="20"/>
      <c r="AH78" s="57"/>
      <c r="AI78" s="57"/>
      <c r="AJ78" s="57"/>
      <c r="AK78" s="93"/>
      <c r="AL78" s="122"/>
      <c r="AM78" s="88"/>
      <c r="AN78" s="20"/>
      <c r="AO78" s="20"/>
      <c r="AP78" s="20"/>
      <c r="AQ78" s="20"/>
      <c r="AR78" s="20"/>
    </row>
    <row r="79" spans="1:46" ht="17.100000000000001" customHeight="1" x14ac:dyDescent="0.2">
      <c r="A79" s="36"/>
      <c r="B79" s="1" t="s">
        <v>19</v>
      </c>
      <c r="D79" s="176" t="s">
        <v>93</v>
      </c>
      <c r="E79" s="121">
        <v>45596</v>
      </c>
      <c r="F79" s="57" t="s">
        <v>22</v>
      </c>
      <c r="G79" s="36"/>
      <c r="J79" s="77"/>
      <c r="K79" s="77"/>
      <c r="L79" s="77"/>
      <c r="M79" s="77"/>
      <c r="N79" s="77"/>
      <c r="O79" s="77"/>
      <c r="P79" s="77"/>
      <c r="Q79" s="7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20"/>
      <c r="AG79" s="20"/>
      <c r="AH79" s="57"/>
      <c r="AI79" s="57"/>
      <c r="AJ79" s="57"/>
      <c r="AK79" s="15"/>
      <c r="AL79" s="4"/>
      <c r="AM79" s="52"/>
      <c r="AN79" s="20"/>
      <c r="AO79" s="20"/>
      <c r="AP79" s="20"/>
      <c r="AQ79" s="20"/>
      <c r="AR79" s="20"/>
    </row>
    <row r="80" spans="1:46" ht="17.100000000000001" customHeight="1" x14ac:dyDescent="0.2">
      <c r="A80" s="37"/>
      <c r="B80" s="1" t="s">
        <v>12</v>
      </c>
      <c r="E80" s="4"/>
      <c r="F80" s="49"/>
      <c r="G80" s="38"/>
      <c r="J80" s="77"/>
      <c r="K80" s="77"/>
      <c r="L80" s="77"/>
      <c r="M80" s="77"/>
      <c r="N80" s="77"/>
      <c r="O80" s="77"/>
      <c r="P80" s="77"/>
      <c r="Q80" s="7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20"/>
      <c r="AG80" s="20"/>
      <c r="AH80" s="52"/>
      <c r="AI80" s="52"/>
      <c r="AJ80" s="52"/>
      <c r="AK80" s="15"/>
      <c r="AL80" s="52"/>
      <c r="AM80" s="52"/>
      <c r="AN80" s="20"/>
      <c r="AO80" s="20"/>
      <c r="AP80" s="20"/>
      <c r="AQ80" s="20"/>
      <c r="AR80" s="20"/>
    </row>
    <row r="81" spans="1:44" ht="17.100000000000001" customHeight="1" x14ac:dyDescent="0.2">
      <c r="A81" s="37"/>
      <c r="B81" s="24"/>
      <c r="D81" s="14"/>
      <c r="E81" s="4"/>
      <c r="F81" s="41"/>
      <c r="G81" s="56"/>
      <c r="J81" s="77"/>
      <c r="K81" s="77"/>
      <c r="L81" s="77"/>
      <c r="M81" s="77"/>
      <c r="N81" s="77"/>
      <c r="O81" s="77"/>
      <c r="P81" s="77"/>
      <c r="Q81" s="7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20"/>
      <c r="AG81" s="20"/>
      <c r="AH81" s="52"/>
      <c r="AI81" s="52"/>
      <c r="AJ81" s="52"/>
      <c r="AK81" s="93"/>
      <c r="AL81" s="20"/>
      <c r="AM81" s="88"/>
      <c r="AN81" s="20"/>
      <c r="AO81" s="20"/>
      <c r="AP81" s="20"/>
      <c r="AQ81" s="20"/>
      <c r="AR81" s="20"/>
    </row>
    <row r="82" spans="1:44" ht="17.100000000000001" customHeight="1" x14ac:dyDescent="0.2">
      <c r="A82" s="37"/>
      <c r="C82" s="15"/>
      <c r="D82" s="14"/>
      <c r="E82" s="12"/>
      <c r="F82" s="60"/>
      <c r="G82" s="56"/>
      <c r="J82" s="77"/>
      <c r="K82" s="77"/>
      <c r="L82" s="77"/>
      <c r="M82" s="77"/>
      <c r="N82" s="77"/>
      <c r="O82" s="77"/>
      <c r="P82" s="77"/>
      <c r="Q82" s="7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20"/>
      <c r="AG82" s="20"/>
      <c r="AH82" s="57"/>
      <c r="AI82" s="57"/>
      <c r="AJ82" s="57"/>
      <c r="AK82" s="93"/>
      <c r="AL82" s="122"/>
      <c r="AM82" s="88"/>
      <c r="AN82" s="20"/>
      <c r="AO82" s="20"/>
      <c r="AP82" s="20"/>
      <c r="AQ82" s="20"/>
      <c r="AR82" s="20"/>
    </row>
    <row r="83" spans="1:44" ht="17.100000000000001" customHeight="1" x14ac:dyDescent="0.2">
      <c r="A83" s="37"/>
      <c r="B83" s="1"/>
      <c r="C83" s="15"/>
      <c r="D83" s="14"/>
      <c r="E83" s="4"/>
      <c r="F83" s="60"/>
      <c r="G83" s="56"/>
      <c r="H83" s="66"/>
      <c r="J83" s="77"/>
      <c r="K83" s="77"/>
      <c r="L83" s="77"/>
      <c r="M83" s="77"/>
      <c r="N83" s="77"/>
      <c r="O83" s="77"/>
      <c r="P83" s="77"/>
      <c r="Q83" s="7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20"/>
      <c r="AG83" s="20"/>
      <c r="AH83" s="52"/>
      <c r="AI83" s="52"/>
      <c r="AJ83" s="52"/>
      <c r="AK83" s="93"/>
      <c r="AL83" s="122"/>
      <c r="AM83" s="52"/>
      <c r="AN83" s="20"/>
      <c r="AO83" s="20"/>
      <c r="AP83" s="20"/>
      <c r="AQ83" s="20"/>
      <c r="AR83" s="20"/>
    </row>
    <row r="84" spans="1:44" ht="17.100000000000001" customHeight="1" x14ac:dyDescent="0.2">
      <c r="A84" s="37"/>
      <c r="C84" s="144" t="s">
        <v>13</v>
      </c>
      <c r="D84" s="107">
        <v>4800</v>
      </c>
      <c r="E84" s="107">
        <f>J123</f>
        <v>4800</v>
      </c>
      <c r="F84" s="41">
        <f t="shared" ref="F84:F90" si="0">D84-E84</f>
        <v>0</v>
      </c>
      <c r="G84" s="56"/>
      <c r="H84" s="64"/>
      <c r="J84" s="77"/>
      <c r="K84" s="77"/>
      <c r="L84" s="77"/>
      <c r="M84" s="77"/>
      <c r="N84" s="77"/>
      <c r="O84" s="77"/>
      <c r="P84" s="77"/>
      <c r="Q84" s="7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20"/>
      <c r="AG84" s="20"/>
      <c r="AH84" s="57"/>
      <c r="AI84" s="57"/>
      <c r="AJ84" s="57"/>
      <c r="AK84" s="89"/>
      <c r="AL84" s="122"/>
      <c r="AM84" s="52"/>
      <c r="AN84" s="20"/>
      <c r="AO84" s="20"/>
      <c r="AP84" s="20"/>
      <c r="AQ84" s="20"/>
      <c r="AR84" s="20"/>
    </row>
    <row r="85" spans="1:44" ht="17.100000000000001" customHeight="1" x14ac:dyDescent="0.2">
      <c r="A85" s="37"/>
      <c r="C85" s="139" t="s">
        <v>62</v>
      </c>
      <c r="D85" s="107">
        <v>2400</v>
      </c>
      <c r="E85" s="107">
        <f>K123</f>
        <v>2400</v>
      </c>
      <c r="F85" s="41">
        <f t="shared" si="0"/>
        <v>0</v>
      </c>
      <c r="G85" s="56"/>
      <c r="H85" s="64"/>
      <c r="J85" s="77"/>
      <c r="K85" s="77"/>
      <c r="L85" s="77"/>
      <c r="M85" s="77"/>
      <c r="N85" s="77"/>
      <c r="O85" s="77"/>
      <c r="P85" s="77"/>
      <c r="Q85" s="7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20"/>
      <c r="AG85" s="20"/>
      <c r="AH85" s="57"/>
      <c r="AI85" s="57"/>
      <c r="AJ85" s="57"/>
      <c r="AK85" s="89"/>
      <c r="AL85" s="20"/>
      <c r="AM85" s="88"/>
      <c r="AN85" s="20"/>
      <c r="AO85" s="20"/>
      <c r="AP85" s="20"/>
      <c r="AQ85" s="20"/>
      <c r="AR85" s="20"/>
    </row>
    <row r="86" spans="1:44" ht="17.100000000000001" customHeight="1" x14ac:dyDescent="0.2">
      <c r="A86" s="37"/>
      <c r="C86" s="144" t="s">
        <v>63</v>
      </c>
      <c r="D86" s="107">
        <v>2400</v>
      </c>
      <c r="E86" s="4">
        <f>L123</f>
        <v>2400</v>
      </c>
      <c r="F86" s="41">
        <f t="shared" si="0"/>
        <v>0</v>
      </c>
      <c r="G86" s="56"/>
      <c r="H86" s="64"/>
      <c r="J86" s="77"/>
      <c r="K86" s="77"/>
      <c r="L86" s="77"/>
      <c r="M86" s="77"/>
      <c r="N86" s="77"/>
      <c r="O86" s="77"/>
      <c r="P86" s="77"/>
      <c r="Q86" s="7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20"/>
      <c r="AG86" s="20"/>
      <c r="AH86" s="57"/>
      <c r="AI86" s="57"/>
      <c r="AJ86" s="57"/>
      <c r="AK86" s="89"/>
      <c r="AL86" s="122"/>
      <c r="AM86" s="88"/>
      <c r="AN86" s="20"/>
      <c r="AO86" s="20"/>
      <c r="AP86" s="20"/>
      <c r="AQ86" s="20"/>
      <c r="AR86" s="20"/>
    </row>
    <row r="87" spans="1:44" ht="17.100000000000001" customHeight="1" x14ac:dyDescent="0.2">
      <c r="A87" s="37"/>
      <c r="C87" s="144" t="s">
        <v>64</v>
      </c>
      <c r="D87" s="107">
        <v>1560</v>
      </c>
      <c r="E87" s="4">
        <f>M123</f>
        <v>1560</v>
      </c>
      <c r="F87" s="41">
        <f t="shared" si="0"/>
        <v>0</v>
      </c>
      <c r="G87" s="56"/>
      <c r="H87" s="64"/>
      <c r="J87" s="77"/>
      <c r="K87" s="77"/>
      <c r="L87" s="77"/>
      <c r="M87" s="77"/>
      <c r="N87" s="77"/>
      <c r="O87" s="77"/>
      <c r="P87" s="77"/>
      <c r="Q87" s="7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20"/>
      <c r="AG87" s="20"/>
      <c r="AH87" s="57"/>
      <c r="AI87" s="57"/>
      <c r="AJ87" s="57"/>
      <c r="AK87" s="89"/>
      <c r="AL87" s="122"/>
      <c r="AM87" s="88"/>
      <c r="AN87" s="20"/>
      <c r="AO87" s="20"/>
      <c r="AP87" s="20"/>
      <c r="AQ87" s="20"/>
      <c r="AR87" s="20"/>
    </row>
    <row r="88" spans="1:44" ht="17.100000000000001" customHeight="1" x14ac:dyDescent="0.2">
      <c r="A88" s="37"/>
      <c r="C88" s="144" t="s">
        <v>54</v>
      </c>
      <c r="D88" s="211">
        <v>4300</v>
      </c>
      <c r="E88" s="58">
        <f>O123</f>
        <v>4579</v>
      </c>
      <c r="F88" s="177">
        <f>D88-E88</f>
        <v>-279</v>
      </c>
      <c r="G88" s="56"/>
      <c r="H88" s="64"/>
      <c r="J88" s="77"/>
      <c r="K88" s="77"/>
      <c r="L88" s="77"/>
      <c r="M88" s="77"/>
      <c r="N88" s="77"/>
      <c r="O88" s="77"/>
      <c r="P88" s="77"/>
      <c r="Q88" s="7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20"/>
      <c r="AG88" s="20"/>
      <c r="AH88" s="57"/>
      <c r="AI88" s="57"/>
      <c r="AJ88" s="57"/>
      <c r="AK88" s="89"/>
      <c r="AL88" s="122"/>
      <c r="AM88" s="88"/>
      <c r="AN88" s="20"/>
      <c r="AO88" s="20"/>
      <c r="AP88" s="20"/>
      <c r="AQ88" s="20"/>
      <c r="AR88" s="20"/>
    </row>
    <row r="89" spans="1:44" ht="17.100000000000001" customHeight="1" x14ac:dyDescent="0.2">
      <c r="A89" s="37"/>
      <c r="C89" s="144" t="s">
        <v>52</v>
      </c>
      <c r="D89" s="107">
        <v>1450</v>
      </c>
      <c r="E89" s="4">
        <f>N123</f>
        <v>1450</v>
      </c>
      <c r="F89" s="41">
        <f t="shared" si="0"/>
        <v>0</v>
      </c>
      <c r="G89" s="56"/>
      <c r="H89" s="64"/>
      <c r="J89" s="77"/>
      <c r="K89" s="77"/>
      <c r="L89" s="77"/>
      <c r="M89" s="77"/>
      <c r="N89" s="77"/>
      <c r="O89" s="77"/>
      <c r="P89" s="77"/>
      <c r="Q89" s="7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20"/>
      <c r="AG89" s="20"/>
      <c r="AH89" s="57"/>
      <c r="AI89" s="57"/>
      <c r="AJ89" s="57"/>
      <c r="AK89" s="89"/>
      <c r="AL89" s="122"/>
      <c r="AM89" s="88"/>
      <c r="AN89" s="20"/>
      <c r="AO89" s="20"/>
      <c r="AP89" s="20"/>
      <c r="AQ89" s="20"/>
      <c r="AR89" s="20"/>
    </row>
    <row r="90" spans="1:44" ht="17.100000000000001" customHeight="1" x14ac:dyDescent="0.2">
      <c r="A90" s="37"/>
      <c r="C90" s="24" t="s">
        <v>65</v>
      </c>
      <c r="D90" s="107">
        <v>5500</v>
      </c>
      <c r="E90" s="4">
        <f>P123</f>
        <v>6220</v>
      </c>
      <c r="F90" s="41">
        <f t="shared" si="0"/>
        <v>-720</v>
      </c>
      <c r="G90" s="56"/>
      <c r="H90" s="64"/>
      <c r="J90" s="77"/>
      <c r="K90" s="77"/>
      <c r="L90" s="77"/>
      <c r="M90" s="77"/>
      <c r="N90" s="77"/>
      <c r="O90" s="77"/>
      <c r="P90" s="77"/>
      <c r="Q90" s="7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20"/>
      <c r="AG90" s="20"/>
      <c r="AH90" s="57"/>
      <c r="AI90" s="57"/>
      <c r="AJ90" s="57"/>
      <c r="AK90" s="89"/>
      <c r="AL90" s="122"/>
      <c r="AM90" s="88"/>
      <c r="AN90" s="20"/>
      <c r="AO90" s="20"/>
      <c r="AP90" s="20"/>
      <c r="AQ90" s="20"/>
      <c r="AR90" s="20"/>
    </row>
    <row r="91" spans="1:44" ht="17.100000000000001" customHeight="1" x14ac:dyDescent="0.25">
      <c r="A91" s="37"/>
      <c r="C91" s="191"/>
      <c r="D91" s="165"/>
      <c r="E91" s="4"/>
      <c r="F91" s="41"/>
      <c r="G91" s="56"/>
      <c r="H91" s="64"/>
      <c r="J91" s="77"/>
      <c r="K91" s="77"/>
      <c r="L91" s="77"/>
      <c r="M91" s="77"/>
      <c r="N91" s="77"/>
      <c r="O91" s="77"/>
      <c r="P91" s="77"/>
      <c r="Q91" s="7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20"/>
      <c r="AG91" s="20"/>
      <c r="AH91" s="57"/>
      <c r="AI91" s="57"/>
      <c r="AJ91" s="57"/>
      <c r="AK91" s="89"/>
      <c r="AL91" s="122"/>
      <c r="AM91" s="88"/>
      <c r="AN91" s="20"/>
      <c r="AO91" s="20"/>
      <c r="AP91" s="20"/>
      <c r="AQ91" s="20"/>
      <c r="AR91" s="20"/>
    </row>
    <row r="92" spans="1:44" ht="17.100000000000001" customHeight="1" x14ac:dyDescent="0.2">
      <c r="A92" s="37"/>
      <c r="C92" s="71"/>
      <c r="D92" s="14"/>
      <c r="E92" s="25"/>
      <c r="G92" s="43"/>
      <c r="H92" s="41"/>
      <c r="J92" s="77"/>
      <c r="K92" s="77"/>
      <c r="L92" s="77"/>
      <c r="M92" s="77"/>
      <c r="N92" s="77"/>
      <c r="O92" s="77"/>
      <c r="P92" s="77"/>
      <c r="Q92" s="7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20"/>
      <c r="AG92" s="20"/>
      <c r="AH92" s="57"/>
      <c r="AI92" s="57"/>
      <c r="AJ92" s="57"/>
      <c r="AK92" s="89"/>
      <c r="AL92" s="122"/>
      <c r="AM92" s="88"/>
      <c r="AN92" s="20"/>
      <c r="AO92" s="20"/>
      <c r="AP92" s="20"/>
      <c r="AQ92" s="20"/>
      <c r="AR92" s="20"/>
    </row>
    <row r="93" spans="1:44" ht="17.100000000000001" customHeight="1" x14ac:dyDescent="0.2">
      <c r="A93" s="37"/>
      <c r="B93" s="1" t="s">
        <v>14</v>
      </c>
      <c r="C93" s="72" t="s">
        <v>11</v>
      </c>
      <c r="D93" s="12">
        <f>SUM(D82:D92)</f>
        <v>22410</v>
      </c>
      <c r="E93" s="25">
        <f>SUM(E84:E92)</f>
        <v>23409</v>
      </c>
      <c r="F93" s="42">
        <f>SUM(F82:F86)</f>
        <v>0</v>
      </c>
      <c r="G93" s="43"/>
      <c r="H93" s="42"/>
      <c r="J93" s="77"/>
      <c r="K93" s="77"/>
      <c r="L93" s="77"/>
      <c r="M93" s="77"/>
      <c r="N93" s="77"/>
      <c r="O93" s="77"/>
      <c r="P93" s="77"/>
      <c r="Q93" s="7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20"/>
      <c r="AG93" s="20"/>
      <c r="AH93" s="57"/>
      <c r="AI93" s="57"/>
      <c r="AJ93" s="57"/>
      <c r="AK93" s="89"/>
      <c r="AL93" s="122"/>
      <c r="AM93" s="88"/>
      <c r="AN93" s="20"/>
      <c r="AO93" s="20"/>
      <c r="AP93" s="20"/>
      <c r="AQ93" s="20"/>
      <c r="AR93" s="20"/>
    </row>
    <row r="94" spans="1:44" ht="17.100000000000001" customHeight="1" x14ac:dyDescent="0.2">
      <c r="A94" s="37"/>
      <c r="C94" s="13"/>
      <c r="D94" s="12"/>
      <c r="E94" s="25"/>
      <c r="F94" s="42"/>
      <c r="G94" s="56"/>
      <c r="H94" s="41"/>
      <c r="J94" s="77"/>
      <c r="K94" s="77"/>
      <c r="L94" s="77"/>
      <c r="M94" s="77"/>
      <c r="N94" s="77"/>
      <c r="O94" s="77"/>
      <c r="P94" s="77"/>
      <c r="Q94" s="7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20"/>
      <c r="AG94" s="20"/>
      <c r="AH94" s="57"/>
      <c r="AI94" s="57"/>
      <c r="AJ94" s="57"/>
      <c r="AK94" s="89"/>
      <c r="AL94" s="122"/>
      <c r="AM94" s="52"/>
      <c r="AN94" s="20"/>
      <c r="AO94" s="20"/>
      <c r="AP94" s="20"/>
      <c r="AQ94" s="20"/>
      <c r="AR94" s="20"/>
    </row>
    <row r="95" spans="1:44" ht="17.100000000000001" customHeight="1" x14ac:dyDescent="0.2">
      <c r="A95" s="37"/>
      <c r="C95" s="138" t="s">
        <v>66</v>
      </c>
      <c r="D95" s="166">
        <v>26940</v>
      </c>
      <c r="E95" s="58">
        <f>Q123</f>
        <v>26660</v>
      </c>
      <c r="F95" s="41">
        <f>D95-E95</f>
        <v>280</v>
      </c>
      <c r="G95" s="56"/>
      <c r="H95" s="64"/>
      <c r="J95" s="77"/>
      <c r="K95" s="77"/>
      <c r="L95" s="77"/>
      <c r="M95" s="77"/>
      <c r="N95" s="77"/>
      <c r="O95" s="77"/>
      <c r="P95" s="77"/>
      <c r="Q95" s="7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20"/>
      <c r="AG95" s="20"/>
      <c r="AH95" s="57"/>
      <c r="AI95" s="57"/>
      <c r="AJ95" s="57"/>
      <c r="AK95" s="89"/>
      <c r="AL95" s="20"/>
      <c r="AM95" s="88"/>
      <c r="AN95" s="20"/>
      <c r="AO95" s="20"/>
      <c r="AP95" s="20"/>
      <c r="AQ95" s="20"/>
      <c r="AR95" s="20"/>
    </row>
    <row r="96" spans="1:44" ht="17.100000000000001" customHeight="1" x14ac:dyDescent="0.2">
      <c r="A96" s="37"/>
      <c r="C96" s="178" t="s">
        <v>67</v>
      </c>
      <c r="D96" s="105">
        <f>25260+483</f>
        <v>25743</v>
      </c>
      <c r="E96" s="12">
        <f>R123</f>
        <v>24900</v>
      </c>
      <c r="F96" s="41">
        <f>D96-E96</f>
        <v>843</v>
      </c>
      <c r="G96" s="56"/>
      <c r="H96" s="64"/>
      <c r="I96" s="4">
        <f>E95+E96</f>
        <v>51560</v>
      </c>
      <c r="J96" s="77"/>
      <c r="K96" s="77"/>
      <c r="L96" s="77"/>
      <c r="M96" s="77"/>
      <c r="N96" s="77"/>
      <c r="O96" s="77"/>
      <c r="P96" s="77"/>
      <c r="Q96" s="7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20"/>
      <c r="AG96" s="20"/>
      <c r="AH96" s="57"/>
      <c r="AI96" s="57"/>
      <c r="AJ96" s="57"/>
      <c r="AK96" s="89"/>
      <c r="AL96" s="122"/>
      <c r="AM96" s="52"/>
      <c r="AN96" s="20"/>
      <c r="AO96" s="20"/>
      <c r="AP96" s="20"/>
      <c r="AQ96" s="20"/>
      <c r="AR96" s="20"/>
    </row>
    <row r="97" spans="1:40" ht="17.100000000000001" customHeight="1" x14ac:dyDescent="0.2">
      <c r="A97" s="37"/>
      <c r="C97" s="192"/>
      <c r="D97" s="4"/>
      <c r="E97" s="12"/>
      <c r="F97" s="41"/>
      <c r="G97" s="56"/>
      <c r="H97" s="64"/>
      <c r="J97" s="77"/>
      <c r="K97" s="77"/>
      <c r="L97" s="77"/>
      <c r="M97" s="77"/>
      <c r="N97" s="77"/>
      <c r="O97" s="77"/>
      <c r="P97" s="77"/>
      <c r="Q97" s="7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20"/>
      <c r="AG97" s="20"/>
      <c r="AH97" s="57"/>
      <c r="AI97" s="57"/>
      <c r="AJ97" s="57"/>
      <c r="AK97" s="89"/>
      <c r="AM97" s="88"/>
    </row>
    <row r="98" spans="1:40" ht="17.100000000000001" customHeight="1" x14ac:dyDescent="0.2">
      <c r="A98" s="37"/>
      <c r="C98" s="178" t="s">
        <v>130</v>
      </c>
      <c r="D98" s="16">
        <f>26820-2040</f>
        <v>24780</v>
      </c>
      <c r="E98" s="14">
        <f>S123</f>
        <v>20720</v>
      </c>
      <c r="F98" s="41">
        <f>D98-E98</f>
        <v>4060</v>
      </c>
      <c r="G98" s="56"/>
      <c r="H98" s="41"/>
      <c r="I98" s="41"/>
      <c r="J98" s="77"/>
      <c r="K98" s="77"/>
      <c r="L98" s="77"/>
      <c r="M98" s="77"/>
      <c r="N98" s="77"/>
      <c r="O98" s="77"/>
      <c r="P98" s="77"/>
      <c r="Q98" s="7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20"/>
      <c r="AG98" s="20"/>
      <c r="AH98" s="57"/>
      <c r="AI98" s="57"/>
      <c r="AJ98" s="57"/>
      <c r="AK98" s="91"/>
      <c r="AL98" s="52"/>
      <c r="AM98" s="52"/>
    </row>
    <row r="99" spans="1:40" ht="17.100000000000001" customHeight="1" x14ac:dyDescent="0.2">
      <c r="A99" s="37"/>
      <c r="C99" s="213" t="s">
        <v>131</v>
      </c>
      <c r="D99" s="28">
        <f>25020-1100+472+750</f>
        <v>25142</v>
      </c>
      <c r="E99" s="14">
        <f>T123</f>
        <v>23341</v>
      </c>
      <c r="F99" s="41">
        <f>D99-E99</f>
        <v>1801</v>
      </c>
      <c r="G99" s="56"/>
      <c r="H99" s="41"/>
      <c r="I99" s="41">
        <f>E98+E99</f>
        <v>44061</v>
      </c>
      <c r="J99" s="77"/>
      <c r="K99" s="77"/>
      <c r="L99" s="77"/>
      <c r="M99" s="77"/>
      <c r="N99" s="77"/>
      <c r="O99" s="77"/>
      <c r="P99" s="77"/>
      <c r="Q99" s="7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20"/>
      <c r="AG99" s="20"/>
      <c r="AH99" s="57"/>
      <c r="AI99" s="57"/>
      <c r="AJ99" s="57"/>
      <c r="AK99" s="15"/>
      <c r="AL99" s="122"/>
      <c r="AM99" s="52"/>
    </row>
    <row r="100" spans="1:40" ht="17.100000000000001" customHeight="1" x14ac:dyDescent="0.2">
      <c r="A100" s="37"/>
      <c r="C100" s="168"/>
      <c r="D100" s="16"/>
      <c r="E100" s="14"/>
      <c r="F100" s="41"/>
      <c r="G100" s="56"/>
      <c r="H100" s="41"/>
      <c r="I100" s="41"/>
      <c r="J100" s="77"/>
      <c r="K100" s="77"/>
      <c r="L100" s="77"/>
      <c r="M100" s="77"/>
      <c r="N100" s="77"/>
      <c r="O100" s="77"/>
      <c r="P100" s="77"/>
      <c r="Q100" s="7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20"/>
      <c r="AG100" s="20"/>
      <c r="AH100" s="57"/>
      <c r="AI100" s="57"/>
      <c r="AJ100" s="57"/>
      <c r="AK100" s="93"/>
      <c r="AL100" s="52"/>
      <c r="AM100" s="52"/>
    </row>
    <row r="101" spans="1:40" ht="17.100000000000001" customHeight="1" x14ac:dyDescent="0.2">
      <c r="A101" s="37"/>
      <c r="B101" t="s">
        <v>29</v>
      </c>
      <c r="C101" s="213" t="s">
        <v>112</v>
      </c>
      <c r="D101" s="108">
        <f>10000+11060-1000+5000</f>
        <v>25060</v>
      </c>
      <c r="E101" s="14">
        <f>U123</f>
        <v>25060</v>
      </c>
      <c r="F101" s="48">
        <f>D101-E101</f>
        <v>0</v>
      </c>
      <c r="G101" s="56"/>
      <c r="H101" s="41"/>
      <c r="I101" s="41"/>
      <c r="J101" s="77"/>
      <c r="K101" s="77"/>
      <c r="L101" s="77"/>
      <c r="M101" s="77"/>
      <c r="N101" s="77"/>
      <c r="O101" s="77"/>
      <c r="P101" s="77"/>
      <c r="Q101" s="7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20"/>
      <c r="AG101" s="20"/>
      <c r="AH101" s="57"/>
      <c r="AI101" s="137"/>
      <c r="AJ101" s="57"/>
      <c r="AK101" s="91"/>
      <c r="AL101" s="52"/>
      <c r="AM101" s="52"/>
    </row>
    <row r="102" spans="1:40" ht="17.100000000000001" customHeight="1" x14ac:dyDescent="0.2">
      <c r="A102" s="37"/>
      <c r="B102" t="s">
        <v>29</v>
      </c>
      <c r="C102" s="213" t="s">
        <v>129</v>
      </c>
      <c r="D102" s="108">
        <v>3700</v>
      </c>
      <c r="E102" s="14">
        <f>V123</f>
        <v>4000</v>
      </c>
      <c r="F102" s="48">
        <f>D102-E102</f>
        <v>-300</v>
      </c>
      <c r="G102" s="56"/>
      <c r="H102" s="41"/>
      <c r="I102" s="41"/>
      <c r="J102" s="77"/>
      <c r="K102" s="77"/>
      <c r="L102" s="77"/>
      <c r="M102" s="77"/>
      <c r="N102" s="77"/>
      <c r="O102" s="77"/>
      <c r="P102" s="77"/>
      <c r="Q102" s="7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20"/>
      <c r="AG102" s="20"/>
      <c r="AH102" s="57"/>
      <c r="AI102" s="137"/>
      <c r="AJ102" s="57"/>
      <c r="AK102" s="91"/>
      <c r="AL102" s="52"/>
      <c r="AM102" s="52"/>
    </row>
    <row r="103" spans="1:40" ht="17.100000000000001" customHeight="1" x14ac:dyDescent="0.2">
      <c r="A103" s="37"/>
      <c r="C103" s="213" t="s">
        <v>104</v>
      </c>
      <c r="D103" s="17">
        <v>5000</v>
      </c>
      <c r="E103" s="14">
        <f>W123</f>
        <v>5000</v>
      </c>
      <c r="F103" s="41">
        <f>D103-E103</f>
        <v>0</v>
      </c>
      <c r="G103" s="56"/>
      <c r="H103" s="41"/>
      <c r="I103" s="41"/>
      <c r="J103" s="77"/>
      <c r="K103" s="77"/>
      <c r="L103" s="77"/>
      <c r="M103" s="77"/>
      <c r="N103" s="77"/>
      <c r="O103" s="77"/>
      <c r="P103" s="77"/>
      <c r="Q103" s="7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20"/>
      <c r="AG103" s="20"/>
      <c r="AH103" s="57"/>
      <c r="AI103" s="137"/>
      <c r="AJ103" s="57"/>
      <c r="AK103" s="91"/>
      <c r="AL103" s="52"/>
      <c r="AM103" s="52"/>
    </row>
    <row r="104" spans="1:40" ht="17.100000000000001" customHeight="1" x14ac:dyDescent="0.2">
      <c r="A104" s="37"/>
      <c r="C104" s="104"/>
      <c r="D104" s="108"/>
      <c r="E104" s="14"/>
      <c r="F104" s="41"/>
      <c r="G104" s="56"/>
      <c r="H104" s="41"/>
      <c r="I104" s="41"/>
      <c r="J104" s="77"/>
      <c r="K104" s="77"/>
      <c r="L104" s="77"/>
      <c r="M104" s="77"/>
      <c r="N104" s="77"/>
      <c r="O104" s="77"/>
      <c r="P104" s="77"/>
      <c r="Q104" s="7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20"/>
      <c r="AG104" s="20"/>
      <c r="AH104" s="57"/>
      <c r="AI104" s="15"/>
      <c r="AJ104" s="57"/>
      <c r="AK104" s="136"/>
      <c r="AM104" s="52"/>
    </row>
    <row r="105" spans="1:40" ht="17.100000000000001" customHeight="1" x14ac:dyDescent="0.2">
      <c r="A105" s="37"/>
      <c r="C105" s="178" t="s">
        <v>132</v>
      </c>
      <c r="D105" s="107">
        <v>1440</v>
      </c>
      <c r="E105" s="14">
        <f>X123</f>
        <v>1440</v>
      </c>
      <c r="F105" s="41">
        <f>D105-E105</f>
        <v>0</v>
      </c>
      <c r="G105" s="56"/>
      <c r="H105" s="41"/>
      <c r="I105" s="41"/>
      <c r="J105" s="77"/>
      <c r="K105" s="77"/>
      <c r="L105" s="77"/>
      <c r="M105" s="77"/>
      <c r="N105" s="77"/>
      <c r="O105" s="77"/>
      <c r="P105" s="77"/>
      <c r="Q105" s="7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20"/>
      <c r="AG105" s="20"/>
      <c r="AH105" s="57"/>
      <c r="AI105" s="137"/>
      <c r="AJ105" s="57"/>
      <c r="AK105" s="136"/>
      <c r="AM105" s="52"/>
    </row>
    <row r="106" spans="1:40" ht="17.100000000000001" customHeight="1" x14ac:dyDescent="0.2">
      <c r="A106" s="37"/>
      <c r="C106" s="213" t="s">
        <v>133</v>
      </c>
      <c r="D106" s="16">
        <f>38020+12120</f>
        <v>50140</v>
      </c>
      <c r="E106" s="14">
        <f>Y123</f>
        <v>62980.67</v>
      </c>
      <c r="F106" s="41">
        <f>D106-E106</f>
        <v>-12840.669999999998</v>
      </c>
      <c r="G106" s="56"/>
      <c r="H106" s="41"/>
      <c r="I106" s="41"/>
      <c r="J106" s="77"/>
      <c r="K106" s="77"/>
      <c r="L106" s="77"/>
      <c r="M106" s="77"/>
      <c r="N106" s="77"/>
      <c r="O106" s="77"/>
      <c r="P106" s="77"/>
      <c r="Q106" s="7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20"/>
      <c r="AG106" s="20"/>
      <c r="AH106" s="57"/>
      <c r="AI106" s="137"/>
      <c r="AJ106" s="57"/>
      <c r="AK106" s="15"/>
      <c r="AL106" s="122"/>
      <c r="AM106" s="52"/>
    </row>
    <row r="107" spans="1:40" ht="17.100000000000001" customHeight="1" x14ac:dyDescent="0.2">
      <c r="A107" s="37"/>
      <c r="C107" s="213" t="s">
        <v>126</v>
      </c>
      <c r="D107" s="16">
        <v>2785.86</v>
      </c>
      <c r="E107" s="14">
        <f>Z123</f>
        <v>2786</v>
      </c>
      <c r="F107" s="41">
        <f>D107-E107</f>
        <v>-0.13999999999987267</v>
      </c>
      <c r="G107" s="56"/>
      <c r="H107" s="41"/>
      <c r="I107" s="41"/>
      <c r="J107" s="77"/>
      <c r="K107" s="77"/>
      <c r="L107" s="77"/>
      <c r="M107" s="77"/>
      <c r="N107" s="77"/>
      <c r="O107" s="77"/>
      <c r="P107" s="77"/>
      <c r="Q107" s="7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20"/>
      <c r="AG107" s="20"/>
      <c r="AH107" s="57"/>
      <c r="AI107" s="137"/>
      <c r="AJ107" s="57"/>
      <c r="AK107" s="15"/>
      <c r="AL107" s="122"/>
      <c r="AM107" s="52"/>
    </row>
    <row r="108" spans="1:40" ht="17.100000000000001" customHeight="1" x14ac:dyDescent="0.2">
      <c r="A108" s="37"/>
      <c r="C108" s="213"/>
      <c r="D108" s="108"/>
      <c r="E108" s="14"/>
      <c r="F108" s="41"/>
      <c r="G108" s="56"/>
      <c r="H108" s="41"/>
      <c r="I108" s="41"/>
      <c r="J108" s="77"/>
      <c r="K108" s="77"/>
      <c r="L108" s="77"/>
      <c r="M108" s="77"/>
      <c r="N108" s="77"/>
      <c r="O108" s="77"/>
      <c r="P108" s="77"/>
      <c r="Q108" s="7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20"/>
      <c r="AG108" s="20"/>
      <c r="AH108" s="57"/>
      <c r="AI108" s="137"/>
      <c r="AJ108" s="57"/>
      <c r="AK108" s="136"/>
      <c r="AM108" s="52"/>
    </row>
    <row r="109" spans="1:40" ht="17.100000000000001" customHeight="1" x14ac:dyDescent="0.2">
      <c r="A109" s="37"/>
      <c r="C109" s="194" t="s">
        <v>134</v>
      </c>
      <c r="D109" s="167">
        <f>29100+(75*5)</f>
        <v>29475</v>
      </c>
      <c r="E109" s="108">
        <f>AA123</f>
        <v>29915</v>
      </c>
      <c r="F109" s="106">
        <f>D109-E109</f>
        <v>-440</v>
      </c>
      <c r="G109" s="56"/>
      <c r="H109" s="41"/>
      <c r="J109" s="77"/>
      <c r="K109" s="77"/>
      <c r="L109" s="77"/>
      <c r="M109" s="77"/>
      <c r="N109" s="77"/>
      <c r="O109" s="77"/>
      <c r="P109" s="77"/>
      <c r="Q109" s="7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20"/>
      <c r="AG109" s="20"/>
      <c r="AH109" s="57"/>
      <c r="AI109" s="137"/>
      <c r="AJ109" s="57"/>
      <c r="AK109" s="136"/>
      <c r="AL109" s="52"/>
      <c r="AM109" s="52"/>
    </row>
    <row r="110" spans="1:40" ht="24.95" customHeight="1" x14ac:dyDescent="0.2">
      <c r="A110" s="37"/>
      <c r="C110" s="242" t="s">
        <v>150</v>
      </c>
      <c r="D110" s="233">
        <f>9300+(2*150)*2</f>
        <v>9900</v>
      </c>
      <c r="E110" s="108">
        <f>AB123</f>
        <v>8496</v>
      </c>
      <c r="F110" s="106">
        <f>D110-E110</f>
        <v>1404</v>
      </c>
      <c r="G110" s="56"/>
      <c r="H110" s="41"/>
      <c r="J110" s="77"/>
      <c r="K110" s="77"/>
      <c r="L110" s="77"/>
      <c r="M110" s="77"/>
      <c r="N110" s="77"/>
      <c r="O110" s="77"/>
      <c r="P110" s="77"/>
      <c r="Q110" s="7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20"/>
      <c r="AG110" s="20"/>
      <c r="AH110" s="57"/>
      <c r="AI110" s="137"/>
      <c r="AJ110" s="57"/>
      <c r="AK110" s="136"/>
      <c r="AL110" s="52"/>
      <c r="AM110" s="52"/>
    </row>
    <row r="111" spans="1:40" ht="17.100000000000001" customHeight="1" x14ac:dyDescent="0.2">
      <c r="A111" s="37"/>
      <c r="C111" s="178"/>
      <c r="D111" s="14"/>
      <c r="E111" s="14"/>
      <c r="F111" s="42"/>
      <c r="G111" s="56"/>
      <c r="H111" s="41"/>
      <c r="J111" s="77"/>
      <c r="K111" s="77"/>
      <c r="L111" s="77"/>
      <c r="M111" s="77"/>
      <c r="N111" s="77"/>
      <c r="O111" s="77"/>
      <c r="P111" s="77"/>
      <c r="Q111" s="7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20"/>
      <c r="AG111" s="20"/>
      <c r="AH111" s="57"/>
      <c r="AI111" s="137"/>
      <c r="AJ111" s="57"/>
      <c r="AK111" s="15"/>
      <c r="AM111" s="57"/>
      <c r="AN111" s="52"/>
    </row>
    <row r="112" spans="1:40" ht="17.100000000000001" customHeight="1" x14ac:dyDescent="0.25">
      <c r="A112" s="37"/>
      <c r="C112" s="179" t="s">
        <v>135</v>
      </c>
      <c r="D112" s="16">
        <f>10750+1500</f>
        <v>12250</v>
      </c>
      <c r="E112" s="14">
        <f>AC123</f>
        <v>10486</v>
      </c>
      <c r="F112" s="41">
        <f>D112-E112</f>
        <v>1764</v>
      </c>
      <c r="G112" s="56"/>
      <c r="H112" s="66"/>
      <c r="J112" s="77"/>
      <c r="K112" s="77"/>
      <c r="L112" s="77"/>
      <c r="M112" s="77"/>
      <c r="N112" s="77"/>
      <c r="O112" s="77"/>
      <c r="P112" s="77"/>
      <c r="Q112" s="7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20"/>
      <c r="AG112" s="20"/>
      <c r="AH112" s="57"/>
      <c r="AI112" s="137"/>
      <c r="AJ112" s="57"/>
      <c r="AK112" s="15"/>
      <c r="AL112" s="4"/>
      <c r="AM112" s="57"/>
      <c r="AN112" s="52"/>
    </row>
    <row r="113" spans="1:53" ht="17.100000000000001" customHeight="1" x14ac:dyDescent="0.2">
      <c r="A113" s="37"/>
      <c r="C113" s="179"/>
      <c r="D113" s="16"/>
      <c r="E113" s="14"/>
      <c r="F113" s="41"/>
      <c r="G113" s="56"/>
      <c r="H113" s="66"/>
      <c r="J113" s="77"/>
      <c r="K113" s="77"/>
      <c r="L113" s="77"/>
      <c r="M113" s="77"/>
      <c r="N113" s="77"/>
      <c r="O113" s="77"/>
      <c r="P113" s="77"/>
      <c r="Q113" s="7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20"/>
      <c r="AG113" s="20"/>
      <c r="AH113" s="57"/>
      <c r="AI113" s="137"/>
      <c r="AJ113" s="57"/>
      <c r="AK113" s="15"/>
      <c r="AL113" s="4"/>
      <c r="AM113" s="57"/>
      <c r="AN113" s="52"/>
    </row>
    <row r="114" spans="1:53" ht="17.100000000000001" customHeight="1" x14ac:dyDescent="0.25">
      <c r="A114" s="37"/>
      <c r="C114" s="232" t="s">
        <v>77</v>
      </c>
      <c r="D114" s="16">
        <v>13000</v>
      </c>
      <c r="E114" s="14">
        <f>AD123</f>
        <v>6500</v>
      </c>
      <c r="F114" s="41">
        <f>D114-E114</f>
        <v>6500</v>
      </c>
      <c r="G114" s="56"/>
      <c r="H114" s="66"/>
      <c r="J114" s="77"/>
      <c r="K114" s="77"/>
      <c r="L114" s="77"/>
      <c r="M114" s="77"/>
      <c r="N114" s="77"/>
      <c r="O114" s="77"/>
      <c r="P114" s="77"/>
      <c r="Q114" s="7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20"/>
      <c r="AG114" s="20"/>
      <c r="AH114" s="57"/>
      <c r="AI114" s="137"/>
      <c r="AJ114" s="57"/>
      <c r="AK114" s="15"/>
      <c r="AM114" s="57"/>
      <c r="AN114" s="52"/>
    </row>
    <row r="115" spans="1:53" ht="17.100000000000001" customHeight="1" x14ac:dyDescent="0.2">
      <c r="A115" s="37"/>
      <c r="C115" s="178"/>
      <c r="D115" s="4"/>
      <c r="E115" s="14"/>
      <c r="F115" s="41"/>
      <c r="G115" s="56"/>
      <c r="H115" s="66"/>
      <c r="J115" s="77"/>
      <c r="K115" s="77"/>
      <c r="L115" s="77"/>
      <c r="M115" s="77"/>
      <c r="N115" s="77"/>
      <c r="O115" s="77"/>
      <c r="P115" s="77"/>
      <c r="Q115" s="7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20"/>
      <c r="AG115" s="20"/>
      <c r="AH115" s="57"/>
      <c r="AI115" s="57"/>
      <c r="AJ115" s="57"/>
      <c r="AK115" s="153"/>
      <c r="AM115" s="57"/>
      <c r="AN115" s="52"/>
    </row>
    <row r="116" spans="1:53" ht="17.100000000000001" customHeight="1" x14ac:dyDescent="0.2">
      <c r="A116" s="37"/>
      <c r="C116" s="73"/>
      <c r="D116" s="12"/>
      <c r="E116" s="14"/>
      <c r="F116" s="41"/>
      <c r="G116" s="56"/>
      <c r="H116" s="66"/>
      <c r="J116" s="77"/>
      <c r="K116" s="77"/>
      <c r="L116" s="77"/>
      <c r="M116" s="77"/>
      <c r="N116" s="77"/>
      <c r="O116" s="77"/>
      <c r="P116" s="77"/>
      <c r="Q116" s="7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20"/>
      <c r="AG116" s="20"/>
      <c r="AH116" s="57"/>
      <c r="AI116" s="57"/>
      <c r="AJ116" s="57"/>
      <c r="AK116" s="91"/>
      <c r="AL116" s="4"/>
      <c r="AM116" s="57"/>
      <c r="AN116" s="52"/>
    </row>
    <row r="117" spans="1:53" ht="17.100000000000001" customHeight="1" x14ac:dyDescent="0.2">
      <c r="A117" s="37"/>
      <c r="C117" s="73"/>
      <c r="D117" s="14"/>
      <c r="E117" s="25"/>
      <c r="F117" s="42"/>
      <c r="G117" s="56"/>
      <c r="H117" s="41"/>
      <c r="J117" s="77"/>
      <c r="K117" s="77"/>
      <c r="L117" s="77"/>
      <c r="M117" s="77"/>
      <c r="N117" s="77"/>
      <c r="O117" s="77"/>
      <c r="P117" s="77"/>
      <c r="Q117" s="7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20"/>
      <c r="AG117" s="20"/>
      <c r="AH117" s="57"/>
      <c r="AI117" s="57"/>
      <c r="AJ117" s="57"/>
      <c r="AK117" s="153"/>
      <c r="AM117" s="57"/>
      <c r="AN117" s="52"/>
    </row>
    <row r="118" spans="1:53" ht="17.100000000000001" customHeight="1" x14ac:dyDescent="0.2">
      <c r="A118" s="37"/>
      <c r="C118" s="72" t="s">
        <v>15</v>
      </c>
      <c r="D118" s="12">
        <f>SUM(D95:D117)</f>
        <v>255355.86</v>
      </c>
      <c r="E118" s="4">
        <f>SUM(E95:E117)</f>
        <v>252284.66999999998</v>
      </c>
      <c r="F118" s="41">
        <f>SUM(F95:F117)</f>
        <v>3071.1900000000023</v>
      </c>
      <c r="G118" s="56"/>
      <c r="H118" s="41"/>
      <c r="J118" s="77"/>
      <c r="K118" s="77"/>
      <c r="L118" s="77"/>
      <c r="M118" s="77"/>
      <c r="N118" s="77"/>
      <c r="O118" s="77"/>
      <c r="P118" s="77"/>
      <c r="Q118" s="7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20"/>
      <c r="AG118" s="20"/>
      <c r="AH118" s="57" t="s">
        <v>39</v>
      </c>
      <c r="AI118" s="57"/>
      <c r="AJ118" s="57"/>
      <c r="AK118" s="153"/>
      <c r="AM118" s="57"/>
      <c r="AN118" s="52"/>
    </row>
    <row r="119" spans="1:53" ht="17.100000000000001" customHeight="1" x14ac:dyDescent="0.2">
      <c r="A119" s="37"/>
      <c r="C119" s="72"/>
      <c r="D119" s="12"/>
      <c r="E119" s="4"/>
      <c r="F119" s="60"/>
      <c r="G119" s="56"/>
      <c r="H119" s="41"/>
      <c r="J119" s="77"/>
      <c r="K119" s="77"/>
      <c r="L119" s="77"/>
      <c r="M119" s="77"/>
      <c r="N119" s="77"/>
      <c r="O119" s="77"/>
      <c r="P119" s="77"/>
      <c r="Q119" s="7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20"/>
      <c r="AG119" s="20"/>
      <c r="AH119" s="57"/>
      <c r="AI119" s="57"/>
      <c r="AJ119" s="57"/>
      <c r="AK119" s="153"/>
      <c r="AM119" s="57"/>
      <c r="AN119" s="52"/>
    </row>
    <row r="120" spans="1:53" ht="17.100000000000001" customHeight="1" x14ac:dyDescent="0.2">
      <c r="A120" s="37"/>
      <c r="C120" s="74" t="s">
        <v>20</v>
      </c>
      <c r="D120" s="26">
        <f>D93+D118</f>
        <v>277765.86</v>
      </c>
      <c r="E120" s="26">
        <f>E93+E118</f>
        <v>275693.67</v>
      </c>
      <c r="F120" s="42">
        <f>F93+F118</f>
        <v>3071.1900000000023</v>
      </c>
      <c r="G120" s="56"/>
      <c r="H120" s="41"/>
      <c r="J120" s="77"/>
      <c r="K120" s="77"/>
      <c r="L120" s="77"/>
      <c r="M120" s="77"/>
      <c r="N120" s="77"/>
      <c r="O120" s="77"/>
      <c r="P120" s="77"/>
      <c r="Q120" s="7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20"/>
      <c r="AG120" s="20"/>
      <c r="AH120" s="57"/>
      <c r="AI120" s="57"/>
      <c r="AJ120" s="57"/>
      <c r="AK120" s="153"/>
      <c r="AM120" s="57"/>
      <c r="AN120" s="52"/>
    </row>
    <row r="121" spans="1:53" ht="17.100000000000001" customHeight="1" x14ac:dyDescent="0.2">
      <c r="A121" s="37"/>
      <c r="C121" s="13"/>
      <c r="D121" s="12"/>
      <c r="E121" s="12"/>
      <c r="F121" s="42"/>
      <c r="G121" s="56"/>
      <c r="H121" s="41"/>
      <c r="J121" s="77"/>
      <c r="K121" s="77"/>
      <c r="L121" s="77"/>
      <c r="M121" s="77"/>
      <c r="N121" s="77"/>
      <c r="O121" s="77"/>
      <c r="P121" s="77"/>
      <c r="Q121" s="7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20"/>
      <c r="AG121" s="20"/>
      <c r="AH121" s="57"/>
      <c r="AI121" s="57"/>
      <c r="AJ121" s="57"/>
      <c r="AK121" s="153"/>
      <c r="AM121" s="57"/>
      <c r="AN121" s="52"/>
    </row>
    <row r="122" spans="1:53" ht="17.100000000000001" customHeight="1" x14ac:dyDescent="0.2">
      <c r="A122" s="36"/>
      <c r="B122" s="1"/>
      <c r="D122" s="4"/>
      <c r="E122" s="4"/>
      <c r="F122" s="41"/>
      <c r="G122" s="56"/>
      <c r="H122" s="41"/>
      <c r="J122" s="77"/>
      <c r="K122" s="77"/>
      <c r="L122" s="77"/>
      <c r="M122" s="77"/>
      <c r="N122" s="77"/>
      <c r="O122" s="77"/>
      <c r="P122" s="77"/>
      <c r="Q122" s="7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20"/>
      <c r="AG122" s="20"/>
      <c r="AH122" s="57"/>
      <c r="AI122" s="57"/>
      <c r="AJ122" s="57"/>
      <c r="AK122" s="153"/>
      <c r="AM122" s="57"/>
      <c r="AN122" s="52"/>
    </row>
    <row r="123" spans="1:53" ht="17.100000000000001" customHeight="1" thickBot="1" x14ac:dyDescent="0.25">
      <c r="A123" s="39" t="s">
        <v>18</v>
      </c>
      <c r="D123" s="4"/>
      <c r="E123" s="4"/>
      <c r="F123" s="41"/>
      <c r="G123" s="56"/>
      <c r="H123" s="41"/>
      <c r="I123" s="4"/>
      <c r="J123" s="52">
        <f t="shared" ref="J123:AF123" si="1">SUM(J8:J121)</f>
        <v>4800</v>
      </c>
      <c r="K123" s="52">
        <f t="shared" si="1"/>
        <v>2400</v>
      </c>
      <c r="L123" s="222">
        <f t="shared" si="1"/>
        <v>2400</v>
      </c>
      <c r="M123" s="222">
        <f t="shared" si="1"/>
        <v>1560</v>
      </c>
      <c r="N123" s="222">
        <f t="shared" si="1"/>
        <v>1450</v>
      </c>
      <c r="O123" s="222">
        <f t="shared" si="1"/>
        <v>4579</v>
      </c>
      <c r="P123" s="222">
        <f t="shared" si="1"/>
        <v>6220</v>
      </c>
      <c r="Q123" s="52">
        <f t="shared" si="1"/>
        <v>26660</v>
      </c>
      <c r="R123" s="52">
        <f t="shared" si="1"/>
        <v>24900</v>
      </c>
      <c r="S123" s="52">
        <f t="shared" si="1"/>
        <v>20720</v>
      </c>
      <c r="T123" s="52">
        <f t="shared" si="1"/>
        <v>23341</v>
      </c>
      <c r="U123" s="164">
        <f t="shared" si="1"/>
        <v>25060</v>
      </c>
      <c r="V123" s="52">
        <f t="shared" si="1"/>
        <v>4000</v>
      </c>
      <c r="W123" s="52">
        <f t="shared" si="1"/>
        <v>5000</v>
      </c>
      <c r="X123" s="52">
        <f t="shared" si="1"/>
        <v>1440</v>
      </c>
      <c r="Y123" s="52">
        <f t="shared" si="1"/>
        <v>62980.67</v>
      </c>
      <c r="Z123" s="52">
        <f t="shared" si="1"/>
        <v>2786</v>
      </c>
      <c r="AA123" s="52">
        <f t="shared" si="1"/>
        <v>29915</v>
      </c>
      <c r="AB123" s="52">
        <f t="shared" si="1"/>
        <v>8496</v>
      </c>
      <c r="AC123" s="52">
        <f t="shared" si="1"/>
        <v>10486</v>
      </c>
      <c r="AD123" s="52">
        <f t="shared" si="1"/>
        <v>6500</v>
      </c>
      <c r="AE123" s="52">
        <f t="shared" si="1"/>
        <v>0</v>
      </c>
      <c r="AF123" s="4">
        <f t="shared" si="1"/>
        <v>275693.67</v>
      </c>
      <c r="AG123" s="4"/>
      <c r="AH123" s="20">
        <f>SUM(J123:AE123)</f>
        <v>275693.67</v>
      </c>
      <c r="AI123" s="52"/>
      <c r="AJ123" s="52"/>
      <c r="AK123" s="153"/>
      <c r="AM123" s="57"/>
      <c r="AN123" s="52"/>
      <c r="AT123" s="4"/>
      <c r="AU123" s="4"/>
      <c r="AV123" s="4"/>
      <c r="AW123" s="4"/>
      <c r="AX123" s="4"/>
      <c r="BA123" s="4">
        <f>SUM(AT123:AZ123)</f>
        <v>0</v>
      </c>
    </row>
    <row r="124" spans="1:53" ht="90" thickBot="1" x14ac:dyDescent="0.25">
      <c r="A124" s="39" t="s">
        <v>2</v>
      </c>
      <c r="D124" s="4"/>
      <c r="E124" s="4"/>
      <c r="F124" s="41"/>
      <c r="G124" s="43"/>
      <c r="H124" s="42"/>
      <c r="I124" t="s">
        <v>24</v>
      </c>
      <c r="J124" s="185" t="str">
        <f t="shared" ref="J124:AD124" si="2">J6</f>
        <v>Salary of Director</v>
      </c>
      <c r="K124" s="185" t="str">
        <f t="shared" si="2"/>
        <v>Deputy Director (Program)</v>
      </c>
      <c r="L124" s="185" t="str">
        <f t="shared" si="2"/>
        <v>Administrative Finance Officer</v>
      </c>
      <c r="M124" s="184" t="str">
        <f t="shared" si="2"/>
        <v>Security Guard</v>
      </c>
      <c r="N124" s="185" t="str">
        <f t="shared" si="2"/>
        <v>Holiday gifts for Employees ($25 for each of two holidays)</v>
      </c>
      <c r="O124" s="184" t="str">
        <f t="shared" si="2"/>
        <v>Main office expenses</v>
      </c>
      <c r="P124" s="184" t="str">
        <f t="shared" si="2"/>
        <v>Expenses for wires (amount sent less amount received)</v>
      </c>
      <c r="Q124" s="184" t="str">
        <f t="shared" si="2"/>
        <v>Qala-e-Malakh BHC- salaries</v>
      </c>
      <c r="R124" s="185" t="str">
        <f t="shared" si="2"/>
        <v>Qala-e-Malakh BHC General Operational Costs</v>
      </c>
      <c r="S124" s="185" t="str">
        <f t="shared" si="2"/>
        <v>Tangi Tokhchi BHC-  Salaries</v>
      </c>
      <c r="T124" s="185" t="str">
        <f t="shared" si="2"/>
        <v>Tangi Tokhchi BHC- General Operation Cost</v>
      </c>
      <c r="U124" s="185" t="str">
        <f t="shared" si="2"/>
        <v>Food for Ramadan</v>
      </c>
      <c r="V124" s="185" t="str">
        <f t="shared" si="2"/>
        <v>Food for Qurbani</v>
      </c>
      <c r="W124" s="185" t="str">
        <f t="shared" si="2"/>
        <v>Helping Returnees from Pakistan -Emergemcy Assistance</v>
      </c>
      <c r="X124" s="185" t="str">
        <f t="shared" si="2"/>
        <v>Emergency Assistance-  Salaries</v>
      </c>
      <c r="Y124" s="185" t="str">
        <f t="shared" si="2"/>
        <v>Emergency Assistance- General Operation Cost</v>
      </c>
      <c r="Z124" s="185" t="str">
        <f t="shared" si="2"/>
        <v>Earthquake (Herat area) Relief  Flood Assistance</v>
      </c>
      <c r="AA124" s="185" t="str">
        <f t="shared" si="2"/>
        <v>Educational Assistance - Student Sponsorship</v>
      </c>
      <c r="AB124" s="185" t="str">
        <f t="shared" si="2"/>
        <v>Educational assistance - Ongoing and New Home School, 2 reg. school teachers</v>
      </c>
      <c r="AC124" s="185" t="str">
        <f t="shared" si="2"/>
        <v>Special Project -  Safe drinking water borewell &amp; Ricksha program</v>
      </c>
      <c r="AD124" s="185" t="str">
        <f t="shared" si="2"/>
        <v>Medical Assistance to the needy for Advance treatment</v>
      </c>
      <c r="AE124" s="185"/>
      <c r="AF124" s="185" t="str">
        <f>AF6</f>
        <v xml:space="preserve">Overall total for Afghanistan program </v>
      </c>
      <c r="AG124" s="188"/>
      <c r="AH124" s="57"/>
      <c r="AI124" s="57"/>
      <c r="AJ124" s="57"/>
      <c r="AK124" s="153"/>
      <c r="AM124" s="57"/>
      <c r="AN124" s="52"/>
    </row>
    <row r="125" spans="1:53" ht="17.100000000000001" customHeight="1" x14ac:dyDescent="0.2">
      <c r="A125" s="39"/>
      <c r="D125" s="4"/>
      <c r="E125" s="4"/>
      <c r="F125" s="41"/>
      <c r="G125" s="56"/>
      <c r="H125" s="41"/>
      <c r="J125" s="8"/>
      <c r="K125" s="8"/>
      <c r="L125" s="103" t="s">
        <v>29</v>
      </c>
      <c r="M125" s="103"/>
      <c r="N125" s="103"/>
      <c r="O125" s="103"/>
      <c r="P125" s="103"/>
      <c r="Q125" s="103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220" t="s">
        <v>78</v>
      </c>
      <c r="AE125" s="221"/>
      <c r="AK125" s="153"/>
      <c r="AM125" s="57"/>
      <c r="AN125" s="52"/>
      <c r="AS125" s="21"/>
      <c r="AT125" s="21"/>
      <c r="AU125" s="239"/>
      <c r="AV125" s="239"/>
      <c r="AW125" s="239"/>
    </row>
    <row r="126" spans="1:53" ht="17.100000000000001" customHeight="1" x14ac:dyDescent="0.2">
      <c r="A126" s="36"/>
      <c r="C126" s="138" t="s">
        <v>31</v>
      </c>
      <c r="D126" s="107">
        <v>1200</v>
      </c>
      <c r="E126" s="4">
        <f>AL200</f>
        <v>452</v>
      </c>
      <c r="F126" s="41">
        <f>D126-E126</f>
        <v>748</v>
      </c>
      <c r="G126" s="56"/>
      <c r="H126" s="41"/>
      <c r="L126" s="52"/>
      <c r="M126" s="52"/>
      <c r="N126" s="52"/>
      <c r="O126" s="52"/>
      <c r="P126" s="52"/>
      <c r="Q126" s="52"/>
      <c r="AK126" s="153"/>
      <c r="AM126" s="57"/>
      <c r="AN126" s="52"/>
      <c r="AU126" s="27"/>
      <c r="AV126" s="27"/>
      <c r="AW126" s="27"/>
      <c r="AX126" s="27"/>
    </row>
    <row r="127" spans="1:53" ht="17.100000000000001" customHeight="1" x14ac:dyDescent="0.2">
      <c r="A127" s="36"/>
      <c r="D127" s="4"/>
      <c r="E127" s="4"/>
      <c r="F127" s="41"/>
      <c r="G127" s="56"/>
      <c r="H127" s="41"/>
      <c r="AH127" s="52"/>
      <c r="AI127" s="4"/>
      <c r="AJ127" s="4"/>
      <c r="AK127" s="153"/>
      <c r="AM127" s="57"/>
      <c r="AN127" s="52"/>
      <c r="AU127" s="27"/>
      <c r="AV127" s="27"/>
      <c r="AW127" s="27"/>
    </row>
    <row r="128" spans="1:53" ht="17.100000000000001" customHeight="1" x14ac:dyDescent="0.2">
      <c r="A128" s="36"/>
      <c r="C128" s="13" t="s">
        <v>11</v>
      </c>
      <c r="D128" s="12">
        <f>SUM(D126:D127)</f>
        <v>1200</v>
      </c>
      <c r="E128" s="12">
        <f>SUM(E126:E127)</f>
        <v>452</v>
      </c>
      <c r="F128" s="42">
        <f>SUM(F126:F127)</f>
        <v>748</v>
      </c>
      <c r="G128" s="56"/>
      <c r="H128" s="41"/>
      <c r="AK128" s="153"/>
      <c r="AM128" s="57"/>
      <c r="AN128" s="52"/>
    </row>
    <row r="129" spans="1:40" ht="17.100000000000001" customHeight="1" x14ac:dyDescent="0.2">
      <c r="A129" s="39" t="s">
        <v>3</v>
      </c>
      <c r="D129" s="4"/>
      <c r="E129" s="4"/>
      <c r="F129" s="41"/>
      <c r="G129" s="56"/>
      <c r="H129" s="41"/>
      <c r="S129" s="78"/>
      <c r="T129" s="78"/>
      <c r="U129" s="78"/>
      <c r="V129" s="78"/>
      <c r="AK129" s="153"/>
      <c r="AM129" s="57"/>
      <c r="AN129" s="52"/>
    </row>
    <row r="130" spans="1:40" ht="17.100000000000001" customHeight="1" x14ac:dyDescent="0.2">
      <c r="A130" s="36"/>
      <c r="C130" s="138" t="s">
        <v>53</v>
      </c>
      <c r="D130" s="16">
        <v>900</v>
      </c>
      <c r="E130" s="4">
        <f>AM200</f>
        <v>878.76999999999987</v>
      </c>
      <c r="F130" s="41">
        <f t="shared" ref="F130:F135" si="3">D130-E130</f>
        <v>21.230000000000132</v>
      </c>
      <c r="G130" s="56"/>
      <c r="H130" s="41"/>
      <c r="S130" s="52"/>
      <c r="T130" s="52"/>
      <c r="U130" s="125"/>
      <c r="V130" s="125"/>
      <c r="AK130" s="153"/>
      <c r="AM130" s="57"/>
      <c r="AN130" s="52"/>
    </row>
    <row r="131" spans="1:40" ht="17.100000000000001" customHeight="1" x14ac:dyDescent="0.2">
      <c r="A131" s="36"/>
      <c r="C131" s="138" t="s">
        <v>30</v>
      </c>
      <c r="D131" s="16">
        <v>280</v>
      </c>
      <c r="E131" s="4">
        <f>AN200</f>
        <v>262</v>
      </c>
      <c r="F131" s="41">
        <f t="shared" si="3"/>
        <v>18</v>
      </c>
      <c r="G131" s="56"/>
      <c r="H131" s="41"/>
      <c r="S131" s="4"/>
      <c r="T131" s="4"/>
      <c r="AK131" s="153"/>
      <c r="AM131" s="57"/>
      <c r="AN131" s="52"/>
    </row>
    <row r="132" spans="1:40" ht="17.100000000000001" customHeight="1" x14ac:dyDescent="0.2">
      <c r="A132" s="36"/>
      <c r="C132" s="138" t="s">
        <v>32</v>
      </c>
      <c r="D132" s="16">
        <v>180</v>
      </c>
      <c r="E132" s="4">
        <f>AR200</f>
        <v>366</v>
      </c>
      <c r="F132" s="41">
        <f t="shared" si="3"/>
        <v>-186</v>
      </c>
      <c r="G132" s="56"/>
      <c r="H132" s="41"/>
      <c r="S132" s="4"/>
      <c r="T132" s="4"/>
      <c r="AK132" s="153"/>
      <c r="AM132" s="57"/>
      <c r="AN132" s="52"/>
    </row>
    <row r="133" spans="1:40" ht="17.100000000000001" customHeight="1" x14ac:dyDescent="0.2">
      <c r="A133" s="36"/>
      <c r="C133" s="138" t="s">
        <v>4</v>
      </c>
      <c r="D133" s="16">
        <v>100</v>
      </c>
      <c r="E133" s="4">
        <f>AO200</f>
        <v>22.5</v>
      </c>
      <c r="F133" s="41">
        <f t="shared" si="3"/>
        <v>77.5</v>
      </c>
      <c r="G133" s="56"/>
      <c r="H133" s="41"/>
      <c r="AK133" s="153"/>
      <c r="AM133" s="57"/>
      <c r="AN133" s="52"/>
    </row>
    <row r="134" spans="1:40" ht="17.100000000000001" customHeight="1" x14ac:dyDescent="0.2">
      <c r="A134" s="36"/>
      <c r="C134" s="138" t="s">
        <v>5</v>
      </c>
      <c r="D134" s="16">
        <v>1400</v>
      </c>
      <c r="E134" s="4">
        <f>AP200</f>
        <v>1250</v>
      </c>
      <c r="F134" s="41">
        <f t="shared" si="3"/>
        <v>150</v>
      </c>
      <c r="G134" s="56"/>
      <c r="H134" s="42"/>
      <c r="AK134" s="153"/>
      <c r="AM134" s="57"/>
      <c r="AN134" s="52"/>
    </row>
    <row r="135" spans="1:40" ht="17.100000000000001" customHeight="1" x14ac:dyDescent="0.2">
      <c r="A135" s="36"/>
      <c r="C135" s="138" t="s">
        <v>79</v>
      </c>
      <c r="D135" s="4">
        <v>1500</v>
      </c>
      <c r="E135" s="4">
        <f>AQ200</f>
        <v>0</v>
      </c>
      <c r="F135" s="41">
        <f t="shared" si="3"/>
        <v>1500</v>
      </c>
      <c r="G135" s="56"/>
      <c r="H135" s="42"/>
      <c r="AK135" s="153"/>
      <c r="AM135" s="57"/>
      <c r="AN135" s="52"/>
    </row>
    <row r="136" spans="1:40" ht="17.100000000000001" customHeight="1" x14ac:dyDescent="0.2">
      <c r="A136" s="36"/>
      <c r="C136" s="138"/>
      <c r="D136" s="16"/>
      <c r="E136" s="4"/>
      <c r="F136" s="41"/>
      <c r="G136" s="56"/>
      <c r="H136" s="42"/>
      <c r="AK136" s="153"/>
      <c r="AM136" s="57"/>
      <c r="AN136" s="52"/>
    </row>
    <row r="137" spans="1:40" ht="17.100000000000001" customHeight="1" x14ac:dyDescent="0.2">
      <c r="A137" s="36"/>
      <c r="C137" s="27"/>
      <c r="D137" s="17"/>
      <c r="E137" s="4"/>
      <c r="F137" s="41"/>
      <c r="G137" s="56"/>
      <c r="H137" s="42"/>
      <c r="AK137" s="153"/>
      <c r="AM137" s="57"/>
      <c r="AN137" s="52"/>
    </row>
    <row r="138" spans="1:40" ht="17.100000000000001" customHeight="1" x14ac:dyDescent="0.2">
      <c r="A138" s="36"/>
      <c r="B138" s="13"/>
      <c r="C138" s="13" t="s">
        <v>11</v>
      </c>
      <c r="D138" s="12">
        <f>SUM(D130:D136)</f>
        <v>4360</v>
      </c>
      <c r="E138" s="12">
        <f>SUM(E130:E136)</f>
        <v>2779.27</v>
      </c>
      <c r="F138" s="42">
        <f>SUM(F130:F134)</f>
        <v>80.730000000000132</v>
      </c>
      <c r="G138" s="43"/>
      <c r="H138" s="54"/>
      <c r="AK138" s="153"/>
      <c r="AM138" s="57"/>
      <c r="AN138" s="52"/>
    </row>
    <row r="139" spans="1:40" ht="17.100000000000001" customHeight="1" x14ac:dyDescent="0.2">
      <c r="A139" s="36"/>
      <c r="B139" s="13"/>
      <c r="C139" s="13"/>
      <c r="D139" s="12"/>
      <c r="E139" s="28"/>
      <c r="F139" s="42"/>
      <c r="G139" s="56"/>
      <c r="AK139" s="153"/>
      <c r="AM139" s="57"/>
      <c r="AN139" s="52"/>
    </row>
    <row r="140" spans="1:40" ht="17.100000000000001" customHeight="1" x14ac:dyDescent="0.2">
      <c r="A140" s="36"/>
      <c r="C140" s="18" t="s">
        <v>25</v>
      </c>
      <c r="D140" s="51">
        <f>SUM(D138,D128)</f>
        <v>5560</v>
      </c>
      <c r="E140" s="51">
        <f>SUM(E138,E128)</f>
        <v>3231.27</v>
      </c>
      <c r="F140" s="61">
        <f>SUM(F138,F128)</f>
        <v>828.73000000000013</v>
      </c>
      <c r="G140" s="43"/>
      <c r="AK140" s="153"/>
      <c r="AM140" s="57"/>
      <c r="AN140" s="52"/>
    </row>
    <row r="141" spans="1:40" ht="17.100000000000001" customHeight="1" thickBot="1" x14ac:dyDescent="0.25">
      <c r="A141" s="40"/>
      <c r="B141" s="30"/>
      <c r="C141" s="31" t="s">
        <v>16</v>
      </c>
      <c r="D141" s="32">
        <f>D120+D140</f>
        <v>283325.86</v>
      </c>
      <c r="E141" s="33">
        <f>E140+E120</f>
        <v>278924.94</v>
      </c>
      <c r="F141" s="62">
        <f>F140+F120</f>
        <v>3899.9200000000023</v>
      </c>
      <c r="G141" s="43"/>
      <c r="AK141" s="153"/>
      <c r="AM141" s="57"/>
      <c r="AN141" s="52"/>
    </row>
    <row r="142" spans="1:40" ht="17.100000000000001" hidden="1" customHeight="1" thickTop="1" x14ac:dyDescent="0.2">
      <c r="A142" s="1" t="s">
        <v>48</v>
      </c>
      <c r="B142" s="60"/>
      <c r="G142" s="15"/>
      <c r="I142" s="4"/>
      <c r="AK142" s="153"/>
      <c r="AM142" s="57"/>
      <c r="AN142" s="52"/>
    </row>
    <row r="143" spans="1:40" ht="17.100000000000001" hidden="1" customHeight="1" x14ac:dyDescent="0.2">
      <c r="A143" s="1" t="s">
        <v>92</v>
      </c>
      <c r="B143" s="174">
        <v>136240.4</v>
      </c>
      <c r="C143" s="169"/>
      <c r="D143" s="170">
        <f>D141-B143</f>
        <v>147085.46</v>
      </c>
      <c r="E143" s="228" t="s">
        <v>96</v>
      </c>
      <c r="G143" s="15"/>
      <c r="H143" s="41"/>
      <c r="AK143" s="153"/>
      <c r="AM143" s="57"/>
      <c r="AN143" s="52"/>
    </row>
    <row r="144" spans="1:40" ht="17.100000000000001" hidden="1" customHeight="1" x14ac:dyDescent="0.2">
      <c r="A144" s="15"/>
      <c r="B144" s="45"/>
      <c r="C144" s="109"/>
      <c r="D144" s="49"/>
      <c r="E144" s="49"/>
      <c r="G144" s="15"/>
      <c r="H144" s="41"/>
      <c r="AK144" s="153"/>
      <c r="AM144" s="57"/>
      <c r="AN144" s="52"/>
    </row>
    <row r="145" spans="1:39" ht="17.100000000000001" hidden="1" customHeight="1" thickBot="1" x14ac:dyDescent="0.25">
      <c r="G145" s="60"/>
      <c r="H145" s="41"/>
      <c r="AK145" s="153"/>
      <c r="AM145" s="52"/>
    </row>
    <row r="146" spans="1:39" ht="15" hidden="1" thickTop="1" x14ac:dyDescent="0.2">
      <c r="A146" s="140" t="s">
        <v>34</v>
      </c>
      <c r="B146" s="141"/>
      <c r="C146" s="141"/>
      <c r="D146" s="141"/>
      <c r="E146" s="23"/>
      <c r="F146" s="142"/>
      <c r="G146" s="69"/>
      <c r="H146" s="42"/>
      <c r="AK146" s="153"/>
      <c r="AM146" s="52"/>
    </row>
    <row r="147" spans="1:39" ht="14.25" hidden="1" x14ac:dyDescent="0.2">
      <c r="A147" s="143"/>
      <c r="B147" s="144"/>
      <c r="C147" s="144"/>
      <c r="D147" s="144"/>
      <c r="F147" s="145"/>
      <c r="G147" s="41"/>
      <c r="H147" s="41"/>
      <c r="AK147" s="153"/>
      <c r="AM147" s="52"/>
    </row>
    <row r="148" spans="1:39" ht="14.25" hidden="1" x14ac:dyDescent="0.2">
      <c r="A148" s="143"/>
      <c r="B148" s="144"/>
      <c r="C148" s="144"/>
      <c r="D148" s="144"/>
      <c r="F148" s="145"/>
      <c r="G148" s="41"/>
      <c r="H148" s="41"/>
      <c r="AK148" s="153"/>
      <c r="AM148" s="52"/>
    </row>
    <row r="149" spans="1:39" ht="15" hidden="1" thickBot="1" x14ac:dyDescent="0.25">
      <c r="A149" s="155"/>
      <c r="B149" s="156"/>
      <c r="C149" s="156"/>
      <c r="D149" s="156"/>
      <c r="E149" s="30"/>
      <c r="F149" s="149"/>
      <c r="G149" s="41"/>
      <c r="H149" s="41"/>
      <c r="AK149" s="153"/>
      <c r="AM149" s="52"/>
    </row>
    <row r="150" spans="1:39" ht="15" thickTop="1" x14ac:dyDescent="0.2">
      <c r="A150" s="141"/>
      <c r="B150" s="141"/>
      <c r="C150" s="141"/>
      <c r="D150" s="141"/>
      <c r="E150" s="23"/>
      <c r="F150" s="23"/>
      <c r="G150" s="41"/>
      <c r="H150" s="41"/>
      <c r="AK150" s="153"/>
      <c r="AM150" s="52"/>
    </row>
    <row r="151" spans="1:39" ht="12.75" customHeight="1" x14ac:dyDescent="0.25">
      <c r="A151" s="237"/>
      <c r="B151" s="237"/>
      <c r="C151" s="237"/>
      <c r="D151" s="237"/>
      <c r="E151" s="157"/>
      <c r="G151" s="41"/>
      <c r="H151" s="41"/>
      <c r="AK151" s="153"/>
      <c r="AM151" s="52"/>
    </row>
    <row r="152" spans="1:39" x14ac:dyDescent="0.2">
      <c r="A152" s="15"/>
      <c r="B152" s="41"/>
      <c r="C152" s="27"/>
      <c r="D152" s="17"/>
      <c r="E152" s="20"/>
      <c r="F152" s="49"/>
      <c r="G152" s="41"/>
      <c r="H152" s="41"/>
      <c r="AK152" s="153"/>
      <c r="AM152" s="52"/>
    </row>
    <row r="153" spans="1:39" x14ac:dyDescent="0.2">
      <c r="B153" s="48"/>
      <c r="C153" s="13"/>
      <c r="D153" s="12"/>
      <c r="E153" s="28"/>
      <c r="F153" s="49"/>
      <c r="G153" s="41"/>
      <c r="H153" s="42"/>
      <c r="AK153" s="153"/>
      <c r="AM153" s="52"/>
    </row>
    <row r="154" spans="1:39" x14ac:dyDescent="0.2">
      <c r="A154" s="15"/>
      <c r="B154" s="41"/>
      <c r="C154" s="18"/>
      <c r="D154" s="53"/>
      <c r="E154" s="29"/>
      <c r="F154" s="50"/>
      <c r="G154" s="14"/>
      <c r="H154" s="54"/>
      <c r="AK154" s="153"/>
      <c r="AM154" s="52"/>
    </row>
    <row r="155" spans="1:39" x14ac:dyDescent="0.2">
      <c r="A155" s="15"/>
      <c r="B155" s="41"/>
      <c r="C155" s="18"/>
      <c r="D155" s="25"/>
      <c r="E155" s="25"/>
      <c r="F155" s="50"/>
      <c r="G155" s="55"/>
      <c r="H155" s="47"/>
      <c r="AK155" s="153"/>
      <c r="AL155" s="52"/>
    </row>
    <row r="156" spans="1:39" x14ac:dyDescent="0.2">
      <c r="B156" s="41"/>
      <c r="F156" s="15"/>
      <c r="AK156" s="154"/>
      <c r="AM156" s="52"/>
    </row>
    <row r="157" spans="1:39" x14ac:dyDescent="0.2">
      <c r="A157" s="15"/>
      <c r="B157" s="41"/>
      <c r="AK157" s="153"/>
      <c r="AM157" s="52"/>
    </row>
    <row r="158" spans="1:39" x14ac:dyDescent="0.2">
      <c r="A158" s="15"/>
      <c r="B158" s="41"/>
      <c r="AK158" s="153"/>
      <c r="AM158" s="52"/>
    </row>
    <row r="159" spans="1:39" x14ac:dyDescent="0.2">
      <c r="B159" s="41"/>
      <c r="AK159" s="153"/>
      <c r="AM159" s="52"/>
    </row>
    <row r="160" spans="1:39" x14ac:dyDescent="0.2">
      <c r="B160" s="41"/>
      <c r="AK160" s="153"/>
      <c r="AM160" s="52"/>
    </row>
    <row r="161" spans="2:39" x14ac:dyDescent="0.2">
      <c r="B161" s="41"/>
      <c r="AK161" s="153"/>
      <c r="AM161" s="52"/>
    </row>
    <row r="162" spans="2:39" x14ac:dyDescent="0.2">
      <c r="B162" s="41"/>
      <c r="AK162" s="153"/>
      <c r="AM162" s="52"/>
    </row>
    <row r="163" spans="2:39" x14ac:dyDescent="0.2">
      <c r="B163" s="41"/>
      <c r="AK163" s="153"/>
      <c r="AM163" s="52"/>
    </row>
    <row r="164" spans="2:39" x14ac:dyDescent="0.2">
      <c r="B164" s="41"/>
      <c r="AK164" s="153"/>
      <c r="AM164" s="52"/>
    </row>
    <row r="165" spans="2:39" x14ac:dyDescent="0.2">
      <c r="B165" s="41"/>
      <c r="AK165" s="153"/>
      <c r="AM165" s="52"/>
    </row>
    <row r="166" spans="2:39" x14ac:dyDescent="0.2">
      <c r="B166" s="41"/>
      <c r="AK166" s="153"/>
      <c r="AM166" s="52"/>
    </row>
    <row r="167" spans="2:39" x14ac:dyDescent="0.2">
      <c r="B167" s="41"/>
      <c r="AK167" s="153"/>
      <c r="AM167" s="52"/>
    </row>
    <row r="168" spans="2:39" x14ac:dyDescent="0.2">
      <c r="B168" s="41"/>
      <c r="AK168" s="153"/>
      <c r="AM168" s="52"/>
    </row>
    <row r="169" spans="2:39" x14ac:dyDescent="0.2">
      <c r="B169" s="41"/>
      <c r="AK169" s="153"/>
      <c r="AM169" s="52"/>
    </row>
    <row r="170" spans="2:39" x14ac:dyDescent="0.2">
      <c r="B170" s="41"/>
      <c r="AK170" s="153"/>
      <c r="AM170" s="52"/>
    </row>
    <row r="171" spans="2:39" x14ac:dyDescent="0.2">
      <c r="B171" s="41"/>
      <c r="AK171" s="104"/>
      <c r="AM171" s="52"/>
    </row>
    <row r="172" spans="2:39" x14ac:dyDescent="0.2">
      <c r="B172" s="41"/>
      <c r="AK172" s="73"/>
      <c r="AM172" s="52"/>
    </row>
    <row r="173" spans="2:39" x14ac:dyDescent="0.2">
      <c r="B173" s="41"/>
      <c r="AK173" s="73"/>
      <c r="AM173" s="52"/>
    </row>
    <row r="174" spans="2:39" x14ac:dyDescent="0.2">
      <c r="B174" s="41"/>
      <c r="AK174" s="15"/>
      <c r="AM174" s="52"/>
    </row>
    <row r="175" spans="2:39" x14ac:dyDescent="0.2">
      <c r="B175" s="41"/>
      <c r="AK175" s="15"/>
      <c r="AM175" s="52"/>
    </row>
    <row r="176" spans="2:39" x14ac:dyDescent="0.2">
      <c r="B176" s="41"/>
      <c r="AK176" s="15"/>
      <c r="AM176" s="52"/>
    </row>
    <row r="177" spans="2:39" x14ac:dyDescent="0.2">
      <c r="B177" s="41"/>
      <c r="AK177" s="15"/>
      <c r="AM177" s="52"/>
    </row>
    <row r="178" spans="2:39" x14ac:dyDescent="0.2">
      <c r="B178" s="41"/>
      <c r="AK178" s="15"/>
      <c r="AM178" s="52"/>
    </row>
    <row r="179" spans="2:39" x14ac:dyDescent="0.2">
      <c r="B179" s="41"/>
      <c r="AK179" s="15"/>
      <c r="AM179" s="52"/>
    </row>
    <row r="180" spans="2:39" x14ac:dyDescent="0.2">
      <c r="B180" s="41"/>
      <c r="AK180" s="15"/>
      <c r="AM180" s="52"/>
    </row>
    <row r="181" spans="2:39" x14ac:dyDescent="0.2">
      <c r="B181" s="41"/>
      <c r="AK181" s="15"/>
      <c r="AM181" s="52"/>
    </row>
    <row r="182" spans="2:39" x14ac:dyDescent="0.2">
      <c r="B182" s="41"/>
      <c r="AK182" s="15"/>
      <c r="AM182" s="52"/>
    </row>
    <row r="183" spans="2:39" x14ac:dyDescent="0.2">
      <c r="B183" s="41"/>
      <c r="AK183" s="15"/>
      <c r="AM183" s="52"/>
    </row>
    <row r="184" spans="2:39" x14ac:dyDescent="0.2">
      <c r="B184" s="41"/>
      <c r="AK184" s="15"/>
      <c r="AM184" s="52"/>
    </row>
    <row r="185" spans="2:39" x14ac:dyDescent="0.2">
      <c r="B185" s="41"/>
      <c r="AK185" s="15"/>
      <c r="AM185" s="52"/>
    </row>
    <row r="186" spans="2:39" x14ac:dyDescent="0.2">
      <c r="B186" s="41"/>
      <c r="AK186" s="15"/>
      <c r="AM186" s="52"/>
    </row>
    <row r="187" spans="2:39" x14ac:dyDescent="0.2">
      <c r="B187" s="41"/>
    </row>
    <row r="188" spans="2:39" x14ac:dyDescent="0.2">
      <c r="B188" s="41"/>
    </row>
    <row r="189" spans="2:39" x14ac:dyDescent="0.2">
      <c r="B189" s="41"/>
    </row>
    <row r="190" spans="2:39" x14ac:dyDescent="0.2">
      <c r="B190" s="41"/>
    </row>
    <row r="191" spans="2:39" x14ac:dyDescent="0.2">
      <c r="B191" s="41"/>
    </row>
    <row r="192" spans="2:39" x14ac:dyDescent="0.2">
      <c r="B192" s="41"/>
    </row>
    <row r="193" spans="2:49" x14ac:dyDescent="0.2">
      <c r="B193" s="41"/>
    </row>
    <row r="194" spans="2:49" x14ac:dyDescent="0.2">
      <c r="B194" s="41"/>
    </row>
    <row r="195" spans="2:49" x14ac:dyDescent="0.2">
      <c r="B195" s="41"/>
    </row>
    <row r="196" spans="2:49" x14ac:dyDescent="0.2">
      <c r="B196" s="41"/>
    </row>
    <row r="197" spans="2:49" x14ac:dyDescent="0.2">
      <c r="B197" s="41"/>
    </row>
    <row r="198" spans="2:49" x14ac:dyDescent="0.2">
      <c r="B198" s="41"/>
      <c r="AS198" s="4">
        <f>SUBTOTAL(9,AS8:AS197)</f>
        <v>3231.2699999999995</v>
      </c>
    </row>
    <row r="199" spans="2:49" x14ac:dyDescent="0.2">
      <c r="B199" s="41"/>
    </row>
    <row r="200" spans="2:49" ht="13.5" thickBot="1" x14ac:dyDescent="0.25">
      <c r="B200" s="41"/>
      <c r="AL200" s="4">
        <f>SUM($AL$8:$AL$199)</f>
        <v>452</v>
      </c>
      <c r="AM200" s="4">
        <f>SUM($AM$8:$AM$199)</f>
        <v>878.76999999999987</v>
      </c>
      <c r="AN200" s="4">
        <f>SUM($AN$8:$AN$199)</f>
        <v>262</v>
      </c>
      <c r="AO200" s="4">
        <f>SUM($AO$8:$AO$199)</f>
        <v>22.5</v>
      </c>
      <c r="AP200" s="4">
        <f>SUM($AP$8:$AP$199)</f>
        <v>1250</v>
      </c>
      <c r="AQ200" s="4">
        <f>SUM($AQ$8:$AQ$199)</f>
        <v>0</v>
      </c>
      <c r="AR200" s="4">
        <f>SUM($AR$8:$AR$199)</f>
        <v>366</v>
      </c>
      <c r="AS200" s="4">
        <f>SUM(AL200:AR200)</f>
        <v>3231.27</v>
      </c>
      <c r="AU200" s="4">
        <f>SUM(AU8:AU123)</f>
        <v>275693.67</v>
      </c>
      <c r="AW200" s="4">
        <f>SUM(AW8:AW123)</f>
        <v>278924.94</v>
      </c>
    </row>
    <row r="201" spans="2:49" ht="14.25" thickTop="1" thickBot="1" x14ac:dyDescent="0.25">
      <c r="B201" s="41"/>
      <c r="AL201" s="234" t="s">
        <v>2</v>
      </c>
      <c r="AM201" s="235"/>
      <c r="AN201" s="234" t="s">
        <v>3</v>
      </c>
      <c r="AO201" s="236"/>
      <c r="AP201" s="236"/>
      <c r="AQ201" s="236"/>
      <c r="AR201" s="235"/>
    </row>
    <row r="202" spans="2:49" ht="52.5" thickTop="1" thickBot="1" x14ac:dyDescent="0.25">
      <c r="B202" s="41"/>
      <c r="AL202" s="119" t="str">
        <f t="shared" ref="AL202:AR202" si="4">AL6</f>
        <v>Bank &amp; Wire fees, post office box rental</v>
      </c>
      <c r="AM202" s="119" t="str">
        <f t="shared" si="4"/>
        <v>Fundraising expenses(includes website)</v>
      </c>
      <c r="AN202" s="119" t="str">
        <f t="shared" si="4"/>
        <v>Business liability insurance</v>
      </c>
      <c r="AO202" s="120" t="str">
        <f t="shared" si="4"/>
        <v>Legal fees</v>
      </c>
      <c r="AP202" s="119" t="str">
        <f t="shared" si="4"/>
        <v>Accounting fees</v>
      </c>
      <c r="AQ202" s="119" t="str">
        <f>AQ6</f>
        <v>Student intern honoraria</v>
      </c>
      <c r="AR202" s="119" t="str">
        <f t="shared" si="4"/>
        <v>Chamber of Commerce membershjip</v>
      </c>
      <c r="AS202" s="158" t="s">
        <v>36</v>
      </c>
    </row>
    <row r="203" spans="2:49" ht="13.5" thickTop="1" x14ac:dyDescent="0.2">
      <c r="B203" s="41"/>
      <c r="AM203" s="4"/>
    </row>
    <row r="204" spans="2:49" x14ac:dyDescent="0.2">
      <c r="B204" s="41"/>
      <c r="AL204" s="4">
        <f>SUM($AL$8:$AL$199)</f>
        <v>452</v>
      </c>
      <c r="AM204" s="4">
        <f>SUM($AM$8:$AM$199)</f>
        <v>878.76999999999987</v>
      </c>
      <c r="AN204" s="4">
        <f>SUM($AN$8:$AN$199)</f>
        <v>262</v>
      </c>
      <c r="AO204" s="4">
        <f>SUM($AO$8:$AO$199)</f>
        <v>22.5</v>
      </c>
      <c r="AP204" s="4">
        <f>SUM($AP$8:$AP$199)</f>
        <v>1250</v>
      </c>
      <c r="AQ204" s="4">
        <f>SUM($AQ$8:$AQ$199)</f>
        <v>0</v>
      </c>
      <c r="AR204" s="4">
        <f>SUM($AR$8:$AR$199)</f>
        <v>366</v>
      </c>
    </row>
    <row r="205" spans="2:49" x14ac:dyDescent="0.2">
      <c r="B205" s="41"/>
    </row>
    <row r="206" spans="2:49" x14ac:dyDescent="0.2">
      <c r="B206" s="41"/>
    </row>
    <row r="207" spans="2:49" x14ac:dyDescent="0.2">
      <c r="B207" s="41"/>
    </row>
    <row r="208" spans="2:49" x14ac:dyDescent="0.2">
      <c r="B208" s="41"/>
    </row>
    <row r="209" spans="2:2" x14ac:dyDescent="0.2">
      <c r="B209" s="41"/>
    </row>
    <row r="210" spans="2:2" x14ac:dyDescent="0.2">
      <c r="B210" s="41"/>
    </row>
    <row r="211" spans="2:2" x14ac:dyDescent="0.2">
      <c r="B211" s="41"/>
    </row>
    <row r="212" spans="2:2" x14ac:dyDescent="0.2">
      <c r="B212" s="41"/>
    </row>
    <row r="213" spans="2:2" x14ac:dyDescent="0.2">
      <c r="B213" s="41"/>
    </row>
    <row r="214" spans="2:2" x14ac:dyDescent="0.2">
      <c r="B214" s="41"/>
    </row>
    <row r="215" spans="2:2" x14ac:dyDescent="0.2">
      <c r="B215" s="41"/>
    </row>
    <row r="216" spans="2:2" x14ac:dyDescent="0.2">
      <c r="B216" s="41"/>
    </row>
    <row r="217" spans="2:2" x14ac:dyDescent="0.2">
      <c r="B217" s="41"/>
    </row>
    <row r="218" spans="2:2" x14ac:dyDescent="0.2">
      <c r="B218" s="41"/>
    </row>
    <row r="219" spans="2:2" x14ac:dyDescent="0.2">
      <c r="B219" s="41"/>
    </row>
    <row r="220" spans="2:2" x14ac:dyDescent="0.2">
      <c r="B220" s="41"/>
    </row>
    <row r="221" spans="2:2" x14ac:dyDescent="0.2">
      <c r="B221" s="41"/>
    </row>
    <row r="222" spans="2:2" x14ac:dyDescent="0.2">
      <c r="B222" s="41"/>
    </row>
    <row r="223" spans="2:2" x14ac:dyDescent="0.2">
      <c r="B223" s="41"/>
    </row>
    <row r="224" spans="2:2" x14ac:dyDescent="0.2">
      <c r="B224" s="41"/>
    </row>
    <row r="225" spans="2:2" x14ac:dyDescent="0.2">
      <c r="B225" s="41"/>
    </row>
    <row r="226" spans="2:2" x14ac:dyDescent="0.2">
      <c r="B226" s="41"/>
    </row>
    <row r="227" spans="2:2" x14ac:dyDescent="0.2">
      <c r="B227" s="41"/>
    </row>
    <row r="228" spans="2:2" x14ac:dyDescent="0.2">
      <c r="B228" s="41"/>
    </row>
    <row r="229" spans="2:2" x14ac:dyDescent="0.2">
      <c r="B229" s="41"/>
    </row>
    <row r="230" spans="2:2" x14ac:dyDescent="0.2">
      <c r="B230" s="41"/>
    </row>
    <row r="231" spans="2:2" x14ac:dyDescent="0.2">
      <c r="B231" s="41"/>
    </row>
    <row r="232" spans="2:2" x14ac:dyDescent="0.2">
      <c r="B232" s="41"/>
    </row>
    <row r="233" spans="2:2" x14ac:dyDescent="0.2">
      <c r="B233" s="41"/>
    </row>
    <row r="234" spans="2:2" x14ac:dyDescent="0.2">
      <c r="B234" s="41"/>
    </row>
    <row r="235" spans="2:2" x14ac:dyDescent="0.2">
      <c r="B235" s="41"/>
    </row>
    <row r="236" spans="2:2" x14ac:dyDescent="0.2">
      <c r="B236" s="41"/>
    </row>
    <row r="237" spans="2:2" x14ac:dyDescent="0.2">
      <c r="B237" s="41"/>
    </row>
    <row r="238" spans="2:2" x14ac:dyDescent="0.2">
      <c r="B238" s="41"/>
    </row>
    <row r="239" spans="2:2" x14ac:dyDescent="0.2">
      <c r="B239" s="41"/>
    </row>
    <row r="240" spans="2:2" x14ac:dyDescent="0.2">
      <c r="B240" s="41"/>
    </row>
    <row r="241" spans="2:2" x14ac:dyDescent="0.2">
      <c r="B241" s="41"/>
    </row>
    <row r="242" spans="2:2" x14ac:dyDescent="0.2">
      <c r="B242" s="41"/>
    </row>
    <row r="243" spans="2:2" x14ac:dyDescent="0.2">
      <c r="B243" s="41"/>
    </row>
    <row r="244" spans="2:2" x14ac:dyDescent="0.2">
      <c r="B244" s="41"/>
    </row>
    <row r="245" spans="2:2" x14ac:dyDescent="0.2">
      <c r="B245" s="41"/>
    </row>
    <row r="246" spans="2:2" x14ac:dyDescent="0.2">
      <c r="B246" s="41"/>
    </row>
    <row r="247" spans="2:2" x14ac:dyDescent="0.2">
      <c r="B247" s="41"/>
    </row>
    <row r="248" spans="2:2" x14ac:dyDescent="0.2">
      <c r="B248" s="41"/>
    </row>
    <row r="249" spans="2:2" x14ac:dyDescent="0.2">
      <c r="B249" s="41"/>
    </row>
    <row r="250" spans="2:2" x14ac:dyDescent="0.2">
      <c r="B250" s="41"/>
    </row>
    <row r="251" spans="2:2" x14ac:dyDescent="0.2">
      <c r="B251" s="41"/>
    </row>
    <row r="252" spans="2:2" x14ac:dyDescent="0.2">
      <c r="B252" s="41"/>
    </row>
    <row r="253" spans="2:2" x14ac:dyDescent="0.2">
      <c r="B253" s="41"/>
    </row>
    <row r="254" spans="2:2" x14ac:dyDescent="0.2">
      <c r="B254" s="41"/>
    </row>
    <row r="255" spans="2:2" x14ac:dyDescent="0.2">
      <c r="B255" s="41"/>
    </row>
    <row r="256" spans="2:2" x14ac:dyDescent="0.2">
      <c r="B256" s="41"/>
    </row>
    <row r="257" spans="2:2" x14ac:dyDescent="0.2">
      <c r="B257" s="41"/>
    </row>
    <row r="258" spans="2:2" x14ac:dyDescent="0.2">
      <c r="B258" s="41"/>
    </row>
    <row r="259" spans="2:2" x14ac:dyDescent="0.2">
      <c r="B259" s="41"/>
    </row>
    <row r="260" spans="2:2" x14ac:dyDescent="0.2">
      <c r="B260" s="41"/>
    </row>
    <row r="261" spans="2:2" x14ac:dyDescent="0.2">
      <c r="B261" s="41"/>
    </row>
    <row r="262" spans="2:2" x14ac:dyDescent="0.2">
      <c r="B262" s="41"/>
    </row>
    <row r="263" spans="2:2" x14ac:dyDescent="0.2">
      <c r="B263" s="41"/>
    </row>
    <row r="264" spans="2:2" x14ac:dyDescent="0.2">
      <c r="B264" s="41"/>
    </row>
    <row r="265" spans="2:2" x14ac:dyDescent="0.2">
      <c r="B265" s="41"/>
    </row>
    <row r="266" spans="2:2" x14ac:dyDescent="0.2">
      <c r="B266" s="41"/>
    </row>
    <row r="267" spans="2:2" x14ac:dyDescent="0.2">
      <c r="B267" s="41"/>
    </row>
    <row r="268" spans="2:2" x14ac:dyDescent="0.2">
      <c r="B268" s="41"/>
    </row>
    <row r="269" spans="2:2" x14ac:dyDescent="0.2">
      <c r="B269" s="41"/>
    </row>
    <row r="270" spans="2:2" x14ac:dyDescent="0.2">
      <c r="B270" s="41"/>
    </row>
    <row r="271" spans="2:2" x14ac:dyDescent="0.2">
      <c r="B271" s="41"/>
    </row>
    <row r="272" spans="2:2" x14ac:dyDescent="0.2">
      <c r="B272" s="41"/>
    </row>
    <row r="273" spans="2:2" x14ac:dyDescent="0.2">
      <c r="B273" s="41"/>
    </row>
    <row r="274" spans="2:2" x14ac:dyDescent="0.2">
      <c r="B274" s="41"/>
    </row>
    <row r="275" spans="2:2" x14ac:dyDescent="0.2">
      <c r="B275" s="41"/>
    </row>
    <row r="276" spans="2:2" x14ac:dyDescent="0.2">
      <c r="B276" s="41"/>
    </row>
    <row r="277" spans="2:2" x14ac:dyDescent="0.2">
      <c r="B277" s="41"/>
    </row>
    <row r="278" spans="2:2" x14ac:dyDescent="0.2">
      <c r="B278" s="41"/>
    </row>
    <row r="279" spans="2:2" x14ac:dyDescent="0.2">
      <c r="B279" s="41"/>
    </row>
    <row r="280" spans="2:2" x14ac:dyDescent="0.2">
      <c r="B280" s="41"/>
    </row>
    <row r="281" spans="2:2" x14ac:dyDescent="0.2">
      <c r="B281" s="41"/>
    </row>
    <row r="282" spans="2:2" x14ac:dyDescent="0.2">
      <c r="B282" s="41"/>
    </row>
    <row r="283" spans="2:2" x14ac:dyDescent="0.2">
      <c r="B283" s="41"/>
    </row>
    <row r="284" spans="2:2" x14ac:dyDescent="0.2">
      <c r="B284" s="41"/>
    </row>
    <row r="285" spans="2:2" x14ac:dyDescent="0.2">
      <c r="B285" s="41"/>
    </row>
    <row r="286" spans="2:2" x14ac:dyDescent="0.2">
      <c r="B286" s="41"/>
    </row>
    <row r="287" spans="2:2" x14ac:dyDescent="0.2">
      <c r="B287" s="41"/>
    </row>
    <row r="288" spans="2:2" x14ac:dyDescent="0.2">
      <c r="B288" s="41"/>
    </row>
    <row r="289" spans="2:2" x14ac:dyDescent="0.2">
      <c r="B289" s="41"/>
    </row>
    <row r="290" spans="2:2" x14ac:dyDescent="0.2">
      <c r="B290" s="41"/>
    </row>
    <row r="291" spans="2:2" x14ac:dyDescent="0.2">
      <c r="B291" s="41"/>
    </row>
    <row r="292" spans="2:2" x14ac:dyDescent="0.2">
      <c r="B292" s="41"/>
    </row>
    <row r="293" spans="2:2" x14ac:dyDescent="0.2">
      <c r="B293" s="41"/>
    </row>
    <row r="294" spans="2:2" x14ac:dyDescent="0.2">
      <c r="B294" s="41"/>
    </row>
    <row r="295" spans="2:2" x14ac:dyDescent="0.2">
      <c r="B295" s="41"/>
    </row>
    <row r="296" spans="2:2" x14ac:dyDescent="0.2">
      <c r="B296" s="41"/>
    </row>
    <row r="297" spans="2:2" x14ac:dyDescent="0.2">
      <c r="B297" s="41"/>
    </row>
    <row r="298" spans="2:2" x14ac:dyDescent="0.2">
      <c r="B298" s="41"/>
    </row>
    <row r="299" spans="2:2" x14ac:dyDescent="0.2">
      <c r="B299" s="41"/>
    </row>
    <row r="300" spans="2:2" x14ac:dyDescent="0.2">
      <c r="B300" s="41"/>
    </row>
    <row r="301" spans="2:2" x14ac:dyDescent="0.2">
      <c r="B301" s="41"/>
    </row>
    <row r="302" spans="2:2" x14ac:dyDescent="0.2">
      <c r="B302" s="41"/>
    </row>
    <row r="303" spans="2:2" x14ac:dyDescent="0.2">
      <c r="B303" s="41"/>
    </row>
    <row r="304" spans="2:2" x14ac:dyDescent="0.2">
      <c r="B304" s="41"/>
    </row>
    <row r="305" spans="2:2" x14ac:dyDescent="0.2">
      <c r="B305" s="41"/>
    </row>
    <row r="306" spans="2:2" x14ac:dyDescent="0.2">
      <c r="B306" s="41"/>
    </row>
    <row r="307" spans="2:2" x14ac:dyDescent="0.2">
      <c r="B307" s="41"/>
    </row>
    <row r="308" spans="2:2" x14ac:dyDescent="0.2">
      <c r="B308" s="41"/>
    </row>
  </sheetData>
  <autoFilter ref="AL200:AR202" xr:uid="{00000000-0009-0000-0000-000000000000}"/>
  <mergeCells count="8">
    <mergeCell ref="AU5:AW5"/>
    <mergeCell ref="AU125:AW125"/>
    <mergeCell ref="AL201:AM201"/>
    <mergeCell ref="AN201:AR201"/>
    <mergeCell ref="AN5:AR5"/>
    <mergeCell ref="A151:D151"/>
    <mergeCell ref="AL5:AM5"/>
    <mergeCell ref="AH54:AI54"/>
  </mergeCells>
  <phoneticPr fontId="0" type="noConversion"/>
  <pageMargins left="0.25" right="0.25" top="0.25" bottom="0.25" header="0.25" footer="0.5"/>
  <pageSetup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17"/>
  <sheetViews>
    <sheetView topLeftCell="A15" workbookViewId="0">
      <selection activeCell="K45" sqref="K45"/>
    </sheetView>
  </sheetViews>
  <sheetFormatPr defaultRowHeight="12.75" x14ac:dyDescent="0.2"/>
  <cols>
    <col min="1" max="1" width="17.140625" customWidth="1"/>
    <col min="2" max="2" width="23.28515625" customWidth="1"/>
    <col min="3" max="3" width="55.5703125" bestFit="1" customWidth="1"/>
    <col min="4" max="4" width="17.28515625" customWidth="1"/>
    <col min="5" max="5" width="11" customWidth="1"/>
    <col min="6" max="6" width="3.140625" customWidth="1"/>
    <col min="7" max="7" width="14.5703125" customWidth="1"/>
    <col min="8" max="8" width="10.85546875" customWidth="1"/>
  </cols>
  <sheetData>
    <row r="1" spans="1:5" x14ac:dyDescent="0.2">
      <c r="A1" s="22" t="s">
        <v>59</v>
      </c>
      <c r="B1" s="21"/>
      <c r="C1" s="21"/>
      <c r="D1" s="21"/>
      <c r="E1" s="21"/>
    </row>
    <row r="2" spans="1:5" x14ac:dyDescent="0.2">
      <c r="A2" s="21"/>
      <c r="B2" s="21"/>
      <c r="C2" s="21"/>
      <c r="D2" s="21"/>
      <c r="E2" s="21"/>
    </row>
    <row r="3" spans="1:5" x14ac:dyDescent="0.2">
      <c r="A3" s="22" t="s">
        <v>60</v>
      </c>
      <c r="B3" s="22"/>
      <c r="C3" s="21"/>
      <c r="D3" s="21"/>
      <c r="E3" s="21"/>
    </row>
    <row r="4" spans="1:5" ht="20.100000000000001" customHeight="1" x14ac:dyDescent="0.2">
      <c r="A4" s="36"/>
      <c r="B4" s="1" t="s">
        <v>19</v>
      </c>
      <c r="D4" s="176" t="s">
        <v>93</v>
      </c>
    </row>
    <row r="5" spans="1:5" x14ac:dyDescent="0.2">
      <c r="A5" s="37"/>
      <c r="B5" s="1" t="s">
        <v>12</v>
      </c>
      <c r="E5" s="57"/>
    </row>
    <row r="6" spans="1:5" x14ac:dyDescent="0.2">
      <c r="A6" s="37"/>
      <c r="B6" s="24"/>
      <c r="D6" s="14"/>
      <c r="E6" s="57"/>
    </row>
    <row r="7" spans="1:5" x14ac:dyDescent="0.2">
      <c r="A7" s="37"/>
      <c r="C7" s="15"/>
      <c r="D7" s="14"/>
      <c r="E7" s="49"/>
    </row>
    <row r="8" spans="1:5" x14ac:dyDescent="0.2">
      <c r="A8" s="37"/>
      <c r="B8" s="1"/>
      <c r="C8" s="15"/>
      <c r="D8" s="14"/>
      <c r="E8" s="60"/>
    </row>
    <row r="9" spans="1:5" ht="14.25" x14ac:dyDescent="0.2">
      <c r="A9" s="37"/>
      <c r="C9" s="144" t="s">
        <v>13</v>
      </c>
      <c r="D9" s="107">
        <v>4800</v>
      </c>
      <c r="E9" s="41"/>
    </row>
    <row r="10" spans="1:5" ht="14.25" x14ac:dyDescent="0.2">
      <c r="A10" s="37"/>
      <c r="C10" s="139" t="s">
        <v>62</v>
      </c>
      <c r="D10" s="107">
        <v>2400</v>
      </c>
      <c r="E10" s="41"/>
    </row>
    <row r="11" spans="1:5" ht="14.25" x14ac:dyDescent="0.2">
      <c r="A11" s="37"/>
      <c r="C11" s="144" t="s">
        <v>63</v>
      </c>
      <c r="D11" s="107">
        <v>2400</v>
      </c>
      <c r="E11" s="41"/>
    </row>
    <row r="12" spans="1:5" ht="14.25" x14ac:dyDescent="0.2">
      <c r="A12" s="37"/>
      <c r="C12" s="144" t="s">
        <v>64</v>
      </c>
      <c r="D12" s="107">
        <v>1200</v>
      </c>
      <c r="E12" s="42"/>
    </row>
    <row r="13" spans="1:5" ht="14.25" x14ac:dyDescent="0.2">
      <c r="A13" s="37"/>
      <c r="C13" s="144" t="s">
        <v>54</v>
      </c>
      <c r="D13" s="211">
        <v>3600</v>
      </c>
      <c r="E13" s="42"/>
    </row>
    <row r="14" spans="1:5" ht="14.25" x14ac:dyDescent="0.2">
      <c r="A14" s="37"/>
      <c r="C14" s="144" t="s">
        <v>52</v>
      </c>
      <c r="D14" s="107">
        <v>1200</v>
      </c>
      <c r="E14" s="41"/>
    </row>
    <row r="15" spans="1:5" x14ac:dyDescent="0.2">
      <c r="A15" s="37"/>
      <c r="C15" s="24" t="s">
        <v>65</v>
      </c>
      <c r="D15" s="107">
        <v>5500</v>
      </c>
      <c r="E15" s="41"/>
    </row>
    <row r="16" spans="1:5" ht="15" x14ac:dyDescent="0.25">
      <c r="A16" s="37"/>
      <c r="C16" s="191"/>
      <c r="D16" s="165"/>
      <c r="E16" s="41"/>
    </row>
    <row r="17" spans="1:8" x14ac:dyDescent="0.2">
      <c r="A17" s="37"/>
      <c r="C17" s="71"/>
      <c r="D17" s="14"/>
      <c r="E17" s="41"/>
      <c r="F17" s="15"/>
      <c r="G17" s="41"/>
      <c r="H17" s="41"/>
    </row>
    <row r="18" spans="1:8" x14ac:dyDescent="0.2">
      <c r="A18" s="37"/>
      <c r="B18" s="1" t="s">
        <v>14</v>
      </c>
      <c r="C18" s="72" t="s">
        <v>11</v>
      </c>
      <c r="D18" s="12">
        <f>SUM(D7:D17)</f>
        <v>21100</v>
      </c>
      <c r="E18" s="60"/>
    </row>
    <row r="19" spans="1:8" x14ac:dyDescent="0.2">
      <c r="A19" s="37"/>
      <c r="C19" s="13"/>
      <c r="D19" s="12"/>
      <c r="E19" s="60"/>
    </row>
    <row r="20" spans="1:8" ht="15" customHeight="1" x14ac:dyDescent="0.2">
      <c r="A20" s="37"/>
      <c r="C20" s="138" t="s">
        <v>66</v>
      </c>
      <c r="D20" s="166">
        <v>25140</v>
      </c>
      <c r="E20" s="60"/>
    </row>
    <row r="21" spans="1:8" x14ac:dyDescent="0.2">
      <c r="A21" s="37"/>
      <c r="C21" s="178" t="s">
        <v>67</v>
      </c>
      <c r="D21" s="105">
        <v>24960</v>
      </c>
      <c r="E21" s="60"/>
    </row>
    <row r="22" spans="1:8" ht="16.5" customHeight="1" x14ac:dyDescent="0.2">
      <c r="A22" s="37"/>
      <c r="C22" s="192"/>
      <c r="D22" s="4"/>
      <c r="E22" s="60"/>
    </row>
    <row r="23" spans="1:8" ht="15" customHeight="1" x14ac:dyDescent="0.2">
      <c r="A23" s="37"/>
      <c r="C23" s="22" t="s">
        <v>68</v>
      </c>
      <c r="D23" s="16">
        <v>24540</v>
      </c>
      <c r="E23" s="60"/>
    </row>
    <row r="24" spans="1:8" x14ac:dyDescent="0.2">
      <c r="A24" s="37"/>
      <c r="C24" s="213" t="s">
        <v>69</v>
      </c>
      <c r="D24" s="28">
        <v>25920</v>
      </c>
      <c r="E24" s="60"/>
    </row>
    <row r="25" spans="1:8" ht="15" x14ac:dyDescent="0.2">
      <c r="A25" s="37"/>
      <c r="C25" s="168"/>
      <c r="D25" s="16"/>
      <c r="E25" s="60"/>
    </row>
    <row r="26" spans="1:8" x14ac:dyDescent="0.2">
      <c r="A26" s="37"/>
      <c r="C26" s="213" t="s">
        <v>70</v>
      </c>
      <c r="D26" s="108">
        <v>2240</v>
      </c>
      <c r="E26" s="41"/>
    </row>
    <row r="27" spans="1:8" x14ac:dyDescent="0.2">
      <c r="A27" s="37"/>
      <c r="C27" s="213" t="s">
        <v>71</v>
      </c>
      <c r="D27" s="17">
        <v>7000</v>
      </c>
      <c r="E27" s="41"/>
    </row>
    <row r="28" spans="1:8" x14ac:dyDescent="0.2">
      <c r="A28" s="37"/>
      <c r="C28" s="104"/>
      <c r="D28" s="108"/>
      <c r="E28" s="41"/>
    </row>
    <row r="29" spans="1:8" x14ac:dyDescent="0.2">
      <c r="A29" s="37"/>
      <c r="C29" s="22" t="s">
        <v>72</v>
      </c>
      <c r="D29" s="107">
        <v>1440</v>
      </c>
      <c r="E29" s="41"/>
    </row>
    <row r="30" spans="1:8" ht="19.5" customHeight="1" x14ac:dyDescent="0.2">
      <c r="A30" s="37"/>
      <c r="C30" s="213" t="s">
        <v>73</v>
      </c>
      <c r="D30" s="16">
        <v>38020</v>
      </c>
      <c r="E30" s="41"/>
    </row>
    <row r="31" spans="1:8" ht="19.5" customHeight="1" x14ac:dyDescent="0.2">
      <c r="A31" s="37"/>
      <c r="C31" s="104"/>
      <c r="D31" s="108"/>
      <c r="E31" s="41"/>
    </row>
    <row r="32" spans="1:8" x14ac:dyDescent="0.2">
      <c r="A32" s="37"/>
      <c r="C32" s="194" t="s">
        <v>74</v>
      </c>
      <c r="D32" s="167">
        <v>29100</v>
      </c>
      <c r="E32" s="41"/>
    </row>
    <row r="33" spans="1:25" x14ac:dyDescent="0.2">
      <c r="A33" s="37"/>
      <c r="C33" s="178" t="s">
        <v>75</v>
      </c>
      <c r="D33" s="167">
        <v>9300</v>
      </c>
      <c r="E33" s="41"/>
    </row>
    <row r="34" spans="1:25" x14ac:dyDescent="0.2">
      <c r="A34" s="37"/>
      <c r="C34" s="73"/>
      <c r="D34" s="14"/>
      <c r="E34" s="41"/>
    </row>
    <row r="35" spans="1:25" ht="27.75" x14ac:dyDescent="0.2">
      <c r="A35" s="37"/>
      <c r="C35" s="150" t="s">
        <v>76</v>
      </c>
      <c r="D35" s="16">
        <v>10750</v>
      </c>
      <c r="E35" s="41"/>
    </row>
    <row r="36" spans="1:25" x14ac:dyDescent="0.2">
      <c r="A36" s="37"/>
      <c r="C36" s="150"/>
      <c r="D36" s="16"/>
      <c r="E36" s="41"/>
    </row>
    <row r="37" spans="1:25" ht="15" x14ac:dyDescent="0.25">
      <c r="A37" s="37"/>
      <c r="C37" s="216" t="s">
        <v>77</v>
      </c>
      <c r="D37" s="16">
        <v>5000</v>
      </c>
      <c r="E37" s="41"/>
    </row>
    <row r="38" spans="1:25" x14ac:dyDescent="0.2">
      <c r="A38" s="37"/>
      <c r="C38" s="73"/>
      <c r="D38" s="4"/>
      <c r="E38" s="41"/>
    </row>
    <row r="39" spans="1:25" x14ac:dyDescent="0.2">
      <c r="A39" s="37"/>
      <c r="C39" s="73"/>
      <c r="D39" s="12"/>
      <c r="E39" s="41"/>
    </row>
    <row r="40" spans="1:25" x14ac:dyDescent="0.2">
      <c r="A40" s="37"/>
      <c r="C40" s="73"/>
      <c r="D40" s="14"/>
      <c r="E40" s="134"/>
      <c r="F40" s="133"/>
      <c r="G40" s="133"/>
      <c r="H40" s="133"/>
      <c r="I40" s="133"/>
    </row>
    <row r="41" spans="1:25" x14ac:dyDescent="0.2">
      <c r="A41" s="37"/>
      <c r="C41" s="72" t="s">
        <v>15</v>
      </c>
      <c r="D41" s="12">
        <f>SUM(D20:D40)</f>
        <v>203410</v>
      </c>
      <c r="E41" s="41"/>
    </row>
    <row r="42" spans="1:25" x14ac:dyDescent="0.2">
      <c r="A42" s="37"/>
      <c r="C42" s="72"/>
      <c r="D42" s="12"/>
      <c r="E42" s="106"/>
      <c r="Y42">
        <f ca="1">Y42</f>
        <v>0</v>
      </c>
    </row>
    <row r="43" spans="1:25" x14ac:dyDescent="0.2">
      <c r="A43" s="37"/>
      <c r="C43" s="74" t="s">
        <v>20</v>
      </c>
      <c r="D43" s="26">
        <f>D18+D41</f>
        <v>224510</v>
      </c>
      <c r="E43" s="42"/>
    </row>
    <row r="44" spans="1:25" x14ac:dyDescent="0.2">
      <c r="A44" s="37"/>
      <c r="C44" s="13"/>
      <c r="D44" s="12"/>
      <c r="E44" s="41"/>
    </row>
    <row r="45" spans="1:25" x14ac:dyDescent="0.2">
      <c r="A45" s="36"/>
      <c r="B45" s="1"/>
      <c r="D45" s="4"/>
      <c r="E45" s="41"/>
    </row>
    <row r="46" spans="1:25" x14ac:dyDescent="0.2">
      <c r="A46" s="39" t="s">
        <v>18</v>
      </c>
      <c r="D46" s="4"/>
      <c r="E46" s="41"/>
    </row>
    <row r="47" spans="1:25" x14ac:dyDescent="0.2">
      <c r="A47" s="39" t="s">
        <v>2</v>
      </c>
      <c r="D47" s="4"/>
      <c r="E47" s="41"/>
    </row>
    <row r="48" spans="1:25" x14ac:dyDescent="0.2">
      <c r="A48" s="39"/>
      <c r="D48" s="4"/>
      <c r="E48" s="41"/>
    </row>
    <row r="49" spans="1:6" ht="14.25" x14ac:dyDescent="0.2">
      <c r="A49" s="36"/>
      <c r="C49" s="138" t="s">
        <v>31</v>
      </c>
      <c r="D49" s="107">
        <v>1200</v>
      </c>
      <c r="E49" s="41"/>
    </row>
    <row r="50" spans="1:6" x14ac:dyDescent="0.2">
      <c r="A50" s="36"/>
      <c r="D50" s="4"/>
      <c r="E50" s="60"/>
    </row>
    <row r="51" spans="1:6" x14ac:dyDescent="0.2">
      <c r="A51" s="36"/>
      <c r="C51" s="13" t="s">
        <v>11</v>
      </c>
      <c r="D51" s="12">
        <f>SUM(D49:D50)</f>
        <v>1200</v>
      </c>
      <c r="E51" s="42"/>
    </row>
    <row r="52" spans="1:6" x14ac:dyDescent="0.2">
      <c r="A52" s="39" t="s">
        <v>3</v>
      </c>
      <c r="D52" s="4"/>
      <c r="E52" s="42"/>
    </row>
    <row r="53" spans="1:6" ht="14.25" x14ac:dyDescent="0.2">
      <c r="A53" s="36"/>
      <c r="C53" s="138" t="s">
        <v>53</v>
      </c>
      <c r="D53" s="16">
        <v>900</v>
      </c>
      <c r="E53" s="42"/>
    </row>
    <row r="54" spans="1:6" ht="14.25" x14ac:dyDescent="0.2">
      <c r="A54" s="36"/>
      <c r="C54" s="138" t="s">
        <v>30</v>
      </c>
      <c r="D54" s="16">
        <v>280</v>
      </c>
      <c r="E54" s="42"/>
    </row>
    <row r="55" spans="1:6" ht="14.25" x14ac:dyDescent="0.2">
      <c r="A55" s="36"/>
      <c r="C55" s="138" t="s">
        <v>32</v>
      </c>
      <c r="D55" s="16">
        <v>180</v>
      </c>
      <c r="E55" s="41"/>
    </row>
    <row r="56" spans="1:6" ht="14.25" x14ac:dyDescent="0.2">
      <c r="A56" s="36"/>
      <c r="C56" s="138" t="s">
        <v>4</v>
      </c>
      <c r="D56" s="16">
        <v>100</v>
      </c>
      <c r="E56" s="41"/>
    </row>
    <row r="57" spans="1:6" ht="14.25" x14ac:dyDescent="0.2">
      <c r="A57" s="36"/>
      <c r="C57" s="138" t="s">
        <v>5</v>
      </c>
      <c r="D57" s="16">
        <v>1400</v>
      </c>
      <c r="E57" s="41"/>
    </row>
    <row r="58" spans="1:6" ht="14.25" x14ac:dyDescent="0.2">
      <c r="A58" s="36"/>
      <c r="C58" s="138" t="s">
        <v>79</v>
      </c>
      <c r="D58" s="4">
        <v>1500</v>
      </c>
      <c r="E58" s="41"/>
    </row>
    <row r="59" spans="1:6" ht="14.25" x14ac:dyDescent="0.2">
      <c r="A59" s="36"/>
      <c r="C59" s="138"/>
      <c r="D59" s="16"/>
      <c r="E59" s="41"/>
    </row>
    <row r="60" spans="1:6" x14ac:dyDescent="0.2">
      <c r="A60" s="36"/>
      <c r="C60" s="27"/>
      <c r="D60" s="17"/>
    </row>
    <row r="61" spans="1:6" x14ac:dyDescent="0.2">
      <c r="A61" s="36"/>
      <c r="B61" s="13"/>
      <c r="C61" s="13" t="s">
        <v>11</v>
      </c>
      <c r="D61" s="12">
        <f>SUM(D53:D59)</f>
        <v>4360</v>
      </c>
      <c r="E61" s="147" t="s">
        <v>49</v>
      </c>
    </row>
    <row r="62" spans="1:6" ht="13.5" thickBot="1" x14ac:dyDescent="0.25">
      <c r="A62" s="36"/>
      <c r="B62" s="13"/>
      <c r="C62" s="13"/>
      <c r="D62" s="12"/>
      <c r="E62" s="41"/>
    </row>
    <row r="63" spans="1:6" ht="13.5" thickTop="1" x14ac:dyDescent="0.2">
      <c r="A63" s="36"/>
      <c r="C63" s="18" t="s">
        <v>25</v>
      </c>
      <c r="D63" s="51">
        <f>SUM(D61,D51)</f>
        <v>5560</v>
      </c>
      <c r="E63" s="23"/>
      <c r="F63" s="142"/>
    </row>
    <row r="64" spans="1:6" ht="13.5" thickBot="1" x14ac:dyDescent="0.25">
      <c r="A64" s="40"/>
      <c r="B64" s="30"/>
      <c r="C64" s="31" t="s">
        <v>16</v>
      </c>
      <c r="D64" s="32">
        <f>D43+D63</f>
        <v>230070</v>
      </c>
      <c r="F64" s="145"/>
    </row>
    <row r="65" spans="1:6" ht="13.5" thickTop="1" x14ac:dyDescent="0.2">
      <c r="A65" s="1" t="s">
        <v>48</v>
      </c>
      <c r="B65" s="60"/>
      <c r="F65" s="145"/>
    </row>
    <row r="66" spans="1:6" x14ac:dyDescent="0.2">
      <c r="A66" s="1" t="s">
        <v>92</v>
      </c>
      <c r="B66" s="174">
        <v>136240.4</v>
      </c>
      <c r="C66" s="169"/>
      <c r="D66" s="170">
        <f>D64-B66</f>
        <v>93829.6</v>
      </c>
      <c r="F66" s="145"/>
    </row>
    <row r="67" spans="1:6" ht="14.25" x14ac:dyDescent="0.2">
      <c r="A67" s="143"/>
      <c r="B67" s="144"/>
      <c r="C67" s="144"/>
      <c r="D67" s="144"/>
      <c r="F67" s="145"/>
    </row>
    <row r="68" spans="1:6" ht="12.75" customHeight="1" thickBot="1" x14ac:dyDescent="0.3">
      <c r="A68" s="240"/>
      <c r="B68" s="241"/>
      <c r="C68" s="241"/>
      <c r="D68" s="241"/>
      <c r="E68" s="148"/>
      <c r="F68" s="149"/>
    </row>
    <row r="69" spans="1:6" ht="13.5" thickTop="1" x14ac:dyDescent="0.2">
      <c r="A69" s="15"/>
      <c r="B69" s="41"/>
      <c r="C69" s="27"/>
      <c r="D69" s="17"/>
      <c r="E69" s="20"/>
      <c r="F69" s="49"/>
    </row>
    <row r="70" spans="1:6" x14ac:dyDescent="0.2">
      <c r="B70" s="13"/>
      <c r="C70" s="13"/>
      <c r="D70" s="28"/>
      <c r="E70" s="42"/>
    </row>
    <row r="71" spans="1:6" x14ac:dyDescent="0.2">
      <c r="C71" s="18"/>
      <c r="D71" s="12"/>
      <c r="E71" s="42"/>
    </row>
    <row r="72" spans="1:6" x14ac:dyDescent="0.2">
      <c r="C72" s="18"/>
      <c r="D72" s="25"/>
      <c r="E72" s="47"/>
    </row>
    <row r="73" spans="1:6" x14ac:dyDescent="0.2">
      <c r="A73" s="1"/>
      <c r="B73" s="60"/>
      <c r="D73" s="41"/>
    </row>
    <row r="74" spans="1:6" x14ac:dyDescent="0.2">
      <c r="A74" s="1"/>
      <c r="B74" s="98"/>
      <c r="C74" s="76"/>
      <c r="D74" s="49"/>
    </row>
    <row r="75" spans="1:6" x14ac:dyDescent="0.2">
      <c r="A75" s="15"/>
      <c r="B75" s="45"/>
      <c r="C75" s="109"/>
      <c r="D75" s="49"/>
    </row>
    <row r="77" spans="1:6" x14ac:dyDescent="0.2">
      <c r="A77" s="81"/>
    </row>
    <row r="78" spans="1:6" x14ac:dyDescent="0.2">
      <c r="A78" s="15"/>
    </row>
    <row r="79" spans="1:6" x14ac:dyDescent="0.2">
      <c r="A79" s="15"/>
    </row>
    <row r="80" spans="1:6" x14ac:dyDescent="0.2">
      <c r="A80" s="15"/>
      <c r="B80" s="15"/>
    </row>
    <row r="82" spans="1:5" x14ac:dyDescent="0.2">
      <c r="A82" s="15"/>
      <c r="C82" s="146"/>
      <c r="D82" s="4"/>
    </row>
    <row r="83" spans="1:5" x14ac:dyDescent="0.2">
      <c r="A83" s="15"/>
      <c r="B83" s="41"/>
      <c r="C83" s="27"/>
      <c r="D83" s="20"/>
      <c r="E83" s="49"/>
    </row>
    <row r="84" spans="1:5" x14ac:dyDescent="0.2">
      <c r="A84" s="15"/>
      <c r="C84" s="146"/>
    </row>
    <row r="85" spans="1:5" x14ac:dyDescent="0.2">
      <c r="A85" s="15"/>
      <c r="B85" s="41"/>
      <c r="C85" s="27"/>
    </row>
    <row r="86" spans="1:5" x14ac:dyDescent="0.2">
      <c r="B86" s="48"/>
      <c r="C86" s="13"/>
    </row>
    <row r="87" spans="1:5" x14ac:dyDescent="0.2">
      <c r="A87" s="15"/>
      <c r="B87" s="41"/>
      <c r="C87" s="18"/>
    </row>
    <row r="88" spans="1:5" x14ac:dyDescent="0.2">
      <c r="A88" s="15"/>
      <c r="B88" s="41"/>
      <c r="C88" s="18"/>
    </row>
    <row r="89" spans="1:5" x14ac:dyDescent="0.2">
      <c r="B89" s="41"/>
    </row>
    <row r="90" spans="1:5" x14ac:dyDescent="0.2">
      <c r="A90" s="15"/>
      <c r="B90" s="41"/>
    </row>
    <row r="115" spans="3:3" x14ac:dyDescent="0.2">
      <c r="C115" s="110"/>
    </row>
    <row r="116" spans="3:3" x14ac:dyDescent="0.2">
      <c r="C116" s="15"/>
    </row>
    <row r="117" spans="3:3" x14ac:dyDescent="0.2">
      <c r="C117" s="15"/>
    </row>
  </sheetData>
  <mergeCells count="1">
    <mergeCell ref="A68:D68"/>
  </mergeCells>
  <phoneticPr fontId="12" type="noConversion"/>
  <pageMargins left="0.25" right="0.25" top="0.75" bottom="0.75" header="0.3" footer="0.3"/>
  <pageSetup scale="62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EDC8B-B01D-4AD4-9AB0-0CD48D9FA8B0}">
  <dimension ref="A1"/>
  <sheetViews>
    <sheetView workbookViewId="0">
      <selection activeCell="B3" sqref="B3:G49"/>
    </sheetView>
  </sheetViews>
  <sheetFormatPr defaultRowHeight="12.75" x14ac:dyDescent="0.2"/>
  <cols>
    <col min="7" max="7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FY24</vt:lpstr>
      <vt:lpstr>APPROVED initial budget FY24</vt:lpstr>
      <vt:lpstr>Sheet2</vt:lpstr>
      <vt:lpstr>'APPROVED initial budget FY24'!Print_Area</vt:lpstr>
      <vt:lpstr>'FY24'!Print_Area</vt:lpstr>
    </vt:vector>
  </TitlesOfParts>
  <Company>GaryJ. Garofolo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J. Garofolo</dc:creator>
  <cp:lastModifiedBy>Gary Garofolo</cp:lastModifiedBy>
  <cp:lastPrinted>2024-10-06T12:52:43Z</cp:lastPrinted>
  <dcterms:created xsi:type="dcterms:W3CDTF">2003-05-15T00:44:34Z</dcterms:created>
  <dcterms:modified xsi:type="dcterms:W3CDTF">2025-02-09T18:41:04Z</dcterms:modified>
</cp:coreProperties>
</file>